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comments3.xml" ContentType="application/vnd.openxmlformats-officedocument.spreadsheetml.comment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5.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drawings/drawing6.xml" ContentType="application/vnd.openxmlformats-officedocument.drawing+xml"/>
  <Override PartName="/xl/comments4.xml" ContentType="application/vnd.openxmlformats-officedocument.spreadsheetml.comments+xml"/>
  <Override PartName="/xl/charts/chart12.xml" ContentType="application/vnd.openxmlformats-officedocument.drawingml.chart+xml"/>
  <Override PartName="/xl/charts/style9.xml" ContentType="application/vnd.ms-office.chartstyle+xml"/>
  <Override PartName="/xl/charts/colors9.xml" ContentType="application/vnd.ms-office.chartcolorstyle+xml"/>
  <Override PartName="/xl/drawings/drawing7.xml" ContentType="application/vnd.openxmlformats-officedocument.drawing+xml"/>
  <Override PartName="/xl/comments5.xml" ContentType="application/vnd.openxmlformats-officedocument.spreadsheetml.comments+xml"/>
  <Override PartName="/xl/charts/chart13.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8.xml" ContentType="application/vnd.openxmlformats-officedocument.drawing+xml"/>
  <Override PartName="/xl/comments6.xml" ContentType="application/vnd.openxmlformats-officedocument.spreadsheetml.comments+xml"/>
  <Override PartName="/xl/charts/chart14.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9.xml" ContentType="application/vnd.openxmlformats-officedocument.drawing+xml"/>
  <Override PartName="/xl/comments7.xml" ContentType="application/vnd.openxmlformats-officedocument.spreadsheetml.comments+xml"/>
  <Override PartName="/xl/charts/chart15.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10.xml" ContentType="application/vnd.openxmlformats-officedocument.drawing+xml"/>
  <Override PartName="/xl/comments8.xml" ContentType="application/vnd.openxmlformats-officedocument.spreadsheetml.comments+xml"/>
  <Override PartName="/xl/charts/chart16.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11.xml" ContentType="application/vnd.openxmlformats-officedocument.drawing+xml"/>
  <Override PartName="/xl/comments9.xml" ContentType="application/vnd.openxmlformats-officedocument.spreadsheetml.comments+xml"/>
  <Override PartName="/xl/charts/chart17.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12.xml" ContentType="application/vnd.openxmlformats-officedocument.drawing+xml"/>
  <Override PartName="/xl/comments10.xml" ContentType="application/vnd.openxmlformats-officedocument.spreadsheetml.comments+xml"/>
  <Override PartName="/xl/charts/chart18.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13.xml" ContentType="application/vnd.openxmlformats-officedocument.drawing+xml"/>
  <Override PartName="/xl/comments11.xml" ContentType="application/vnd.openxmlformats-officedocument.spreadsheetml.comments+xml"/>
  <Override PartName="/xl/charts/chart19.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14.xml" ContentType="application/vnd.openxmlformats-officedocument.drawing+xml"/>
  <Override PartName="/xl/comments12.xml" ContentType="application/vnd.openxmlformats-officedocument.spreadsheetml.comments+xml"/>
  <Override PartName="/xl/charts/chart20.xml" ContentType="application/vnd.openxmlformats-officedocument.drawingml.chart+xml"/>
  <Override PartName="/xl/charts/style17.xml" ContentType="application/vnd.ms-office.chartstyle+xml"/>
  <Override PartName="/xl/charts/colors17.xml" ContentType="application/vnd.ms-office.chartcolorstyle+xml"/>
  <Override PartName="/xl/drawings/drawing15.xml" ContentType="application/vnd.openxmlformats-officedocument.drawing+xml"/>
  <Override PartName="/xl/comments13.xml" ContentType="application/vnd.openxmlformats-officedocument.spreadsheetml.comments+xml"/>
  <Override PartName="/xl/charts/chart21.xml" ContentType="application/vnd.openxmlformats-officedocument.drawingml.chart+xml"/>
  <Override PartName="/xl/charts/style18.xml" ContentType="application/vnd.ms-office.chartstyle+xml"/>
  <Override PartName="/xl/charts/colors18.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https://interacteu-my.sharepoint.com/personal/sanna_erkko_interact_eu/Documents/01_work/Programme Financial Managagement/post2027/performance based/"/>
    </mc:Choice>
  </mc:AlternateContent>
  <xr:revisionPtr revIDLastSave="25" documentId="8_{8D1CDE0B-04E4-4E63-9FDB-7719DB860059}" xr6:coauthVersionLast="47" xr6:coauthVersionMax="47" xr10:uidLastSave="{DD257FA6-E7FF-47CD-BDD2-8E8854864E5F}"/>
  <bookViews>
    <workbookView xWindow="-113" yWindow="-113" windowWidth="24267" windowHeight="13023" xr2:uid="{7F2AA7D1-37BC-43B2-A554-98629D32EB91}"/>
  </bookViews>
  <sheets>
    <sheet name="Guide" sheetId="15" r:id="rId1"/>
    <sheet name="Checks" sheetId="16" r:id="rId2"/>
    <sheet name="pay out values" sheetId="7" r:id="rId3"/>
    <sheet name="N+1 " sheetId="8" r:id="rId4"/>
    <sheet name="Inflows" sheetId="9" r:id="rId5"/>
    <sheet name="TA " sheetId="10" r:id="rId6"/>
    <sheet name="Summary project payments" sheetId="14" r:id="rId7"/>
    <sheet name="Measure 1 project payments" sheetId="12" r:id="rId8"/>
    <sheet name="Measure 2 project payments" sheetId="17" r:id="rId9"/>
    <sheet name="Measure 3 project payments" sheetId="103" r:id="rId10"/>
    <sheet name="Measure 4 project payments" sheetId="104" r:id="rId11"/>
    <sheet name="Measure 5 project payments" sheetId="105" r:id="rId12"/>
    <sheet name="Measure 6 project payments" sheetId="106" r:id="rId13"/>
    <sheet name="Measure 7 project payments" sheetId="107" r:id="rId14"/>
    <sheet name="Measure 8 project payments" sheetId="108" r:id="rId15"/>
    <sheet name="Measure 9 project payments" sheetId="109" r:id="rId16"/>
    <sheet name="Measure 10 project payments" sheetId="110" r:id="rId1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7" i="7" l="1"/>
  <c r="D28" i="7"/>
  <c r="D29" i="7"/>
  <c r="D30" i="7"/>
  <c r="X53" i="110"/>
  <c r="W53" i="110"/>
  <c r="P53" i="110"/>
  <c r="Y52" i="110"/>
  <c r="Y51" i="110"/>
  <c r="Y50" i="110"/>
  <c r="S49" i="110"/>
  <c r="R48" i="110"/>
  <c r="R47" i="110"/>
  <c r="R53" i="110" s="1"/>
  <c r="Q47" i="110"/>
  <c r="Q53" i="110" s="1"/>
  <c r="J46" i="110"/>
  <c r="I46" i="110"/>
  <c r="H46" i="110"/>
  <c r="G46" i="110"/>
  <c r="F46" i="110"/>
  <c r="U39" i="110"/>
  <c r="T39" i="110"/>
  <c r="S39" i="110"/>
  <c r="T48" i="110" s="1"/>
  <c r="R39" i="110"/>
  <c r="T49" i="110" s="1"/>
  <c r="Q39" i="110"/>
  <c r="S48" i="110" s="1"/>
  <c r="P39" i="110"/>
  <c r="V38" i="110"/>
  <c r="A37" i="110"/>
  <c r="X30" i="110"/>
  <c r="W30" i="110"/>
  <c r="V30" i="110"/>
  <c r="U30" i="110"/>
  <c r="T30" i="110"/>
  <c r="S30" i="110"/>
  <c r="E46" i="110" s="1"/>
  <c r="R30" i="110"/>
  <c r="D46" i="110" s="1"/>
  <c r="Q30" i="110"/>
  <c r="C46" i="110" s="1"/>
  <c r="P30" i="110"/>
  <c r="C30" i="110"/>
  <c r="B30" i="110"/>
  <c r="Y29" i="110"/>
  <c r="J29" i="110"/>
  <c r="I29" i="110"/>
  <c r="H29" i="110"/>
  <c r="G29" i="110"/>
  <c r="F29" i="110"/>
  <c r="E29" i="110"/>
  <c r="D29" i="110"/>
  <c r="C29" i="110"/>
  <c r="B29" i="110"/>
  <c r="K29" i="110" s="1"/>
  <c r="A29" i="110"/>
  <c r="Y28" i="110"/>
  <c r="J28" i="110"/>
  <c r="I28" i="110"/>
  <c r="H28" i="110"/>
  <c r="G28" i="110"/>
  <c r="F28" i="110"/>
  <c r="E28" i="110"/>
  <c r="D28" i="110"/>
  <c r="C28" i="110"/>
  <c r="B28" i="110"/>
  <c r="K28" i="110" s="1"/>
  <c r="A28" i="110"/>
  <c r="Y27" i="110"/>
  <c r="J27" i="110"/>
  <c r="I27" i="110"/>
  <c r="H27" i="110"/>
  <c r="G27" i="110"/>
  <c r="F27" i="110"/>
  <c r="E27" i="110"/>
  <c r="D27" i="110"/>
  <c r="C27" i="110"/>
  <c r="B27" i="110"/>
  <c r="K27" i="110" s="1"/>
  <c r="A27" i="110"/>
  <c r="Y26" i="110"/>
  <c r="J26" i="110"/>
  <c r="I26" i="110"/>
  <c r="H26" i="110"/>
  <c r="G26" i="110"/>
  <c r="F26" i="110"/>
  <c r="E26" i="110"/>
  <c r="D26" i="110"/>
  <c r="C26" i="110"/>
  <c r="B26" i="110"/>
  <c r="K26" i="110" s="1"/>
  <c r="A26" i="110"/>
  <c r="Y25" i="110"/>
  <c r="J25" i="110"/>
  <c r="I25" i="110"/>
  <c r="H25" i="110"/>
  <c r="G25" i="110"/>
  <c r="F25" i="110"/>
  <c r="E25" i="110"/>
  <c r="D25" i="110"/>
  <c r="C25" i="110"/>
  <c r="B25" i="110"/>
  <c r="K25" i="110" s="1"/>
  <c r="A25" i="110"/>
  <c r="Y24" i="110"/>
  <c r="J24" i="110"/>
  <c r="J30" i="110" s="1"/>
  <c r="I24" i="110"/>
  <c r="I30" i="110" s="1"/>
  <c r="H24" i="110"/>
  <c r="H30" i="110" s="1"/>
  <c r="G24" i="110"/>
  <c r="G30" i="110" s="1"/>
  <c r="F24" i="110"/>
  <c r="F30" i="110" s="1"/>
  <c r="E24" i="110"/>
  <c r="E30" i="110" s="1"/>
  <c r="D24" i="110"/>
  <c r="D30" i="110" s="1"/>
  <c r="C24" i="110"/>
  <c r="B24" i="110"/>
  <c r="K24" i="110" s="1"/>
  <c r="A24" i="110"/>
  <c r="C19" i="110"/>
  <c r="A38" i="110" s="1"/>
  <c r="C15" i="110"/>
  <c r="C5" i="110"/>
  <c r="A5" i="110"/>
  <c r="X53" i="109"/>
  <c r="W53" i="109"/>
  <c r="P53" i="109"/>
  <c r="Y52" i="109"/>
  <c r="Y51" i="109"/>
  <c r="Y50" i="109"/>
  <c r="V49" i="109"/>
  <c r="V53" i="109" s="1"/>
  <c r="U48" i="109"/>
  <c r="T48" i="109"/>
  <c r="T47" i="109"/>
  <c r="E46" i="109"/>
  <c r="D46" i="109"/>
  <c r="C46" i="109"/>
  <c r="B46" i="109"/>
  <c r="U39" i="109"/>
  <c r="T39" i="109"/>
  <c r="S39" i="109"/>
  <c r="S47" i="109" s="1"/>
  <c r="R39" i="109"/>
  <c r="Q39" i="109"/>
  <c r="P39" i="109"/>
  <c r="V38" i="109"/>
  <c r="X30" i="109"/>
  <c r="J46" i="109" s="1"/>
  <c r="W30" i="109"/>
  <c r="I46" i="109" s="1"/>
  <c r="V30" i="109"/>
  <c r="H46" i="109" s="1"/>
  <c r="U30" i="109"/>
  <c r="G46" i="109" s="1"/>
  <c r="T30" i="109"/>
  <c r="Y30" i="109" s="1"/>
  <c r="S30" i="109"/>
  <c r="R30" i="109"/>
  <c r="Q30" i="109"/>
  <c r="P30" i="109"/>
  <c r="Y29" i="109"/>
  <c r="J29" i="109"/>
  <c r="I29" i="109"/>
  <c r="H29" i="109"/>
  <c r="G29" i="109"/>
  <c r="F29" i="109"/>
  <c r="E29" i="109"/>
  <c r="D29" i="109"/>
  <c r="C29" i="109"/>
  <c r="B29" i="109"/>
  <c r="A29" i="109"/>
  <c r="Y28" i="109"/>
  <c r="J28" i="109"/>
  <c r="I28" i="109"/>
  <c r="H28" i="109"/>
  <c r="G28" i="109"/>
  <c r="F28" i="109"/>
  <c r="E28" i="109"/>
  <c r="D28" i="109"/>
  <c r="C28" i="109"/>
  <c r="B28" i="109"/>
  <c r="A28" i="109"/>
  <c r="Y27" i="109"/>
  <c r="J27" i="109"/>
  <c r="I27" i="109"/>
  <c r="H27" i="109"/>
  <c r="G27" i="109"/>
  <c r="F27" i="109"/>
  <c r="E27" i="109"/>
  <c r="D27" i="109"/>
  <c r="C27" i="109"/>
  <c r="B27" i="109"/>
  <c r="A27" i="109"/>
  <c r="Y26" i="109"/>
  <c r="J26" i="109"/>
  <c r="I26" i="109"/>
  <c r="H26" i="109"/>
  <c r="G26" i="109"/>
  <c r="F26" i="109"/>
  <c r="E26" i="109"/>
  <c r="D26" i="109"/>
  <c r="C26" i="109"/>
  <c r="B26" i="109"/>
  <c r="A26" i="109"/>
  <c r="Y25" i="109"/>
  <c r="J25" i="109"/>
  <c r="I25" i="109"/>
  <c r="H25" i="109"/>
  <c r="G25" i="109"/>
  <c r="F25" i="109"/>
  <c r="E25" i="109"/>
  <c r="D25" i="109"/>
  <c r="C25" i="109"/>
  <c r="B25" i="109"/>
  <c r="A25" i="109"/>
  <c r="Y24" i="109"/>
  <c r="J24" i="109"/>
  <c r="J30" i="109" s="1"/>
  <c r="I24" i="109"/>
  <c r="I30" i="109" s="1"/>
  <c r="H24" i="109"/>
  <c r="G24" i="109"/>
  <c r="F24" i="109"/>
  <c r="E24" i="109"/>
  <c r="D24" i="109"/>
  <c r="C24" i="109"/>
  <c r="B24" i="109"/>
  <c r="B30" i="109" s="1"/>
  <c r="A24" i="109"/>
  <c r="C19" i="109"/>
  <c r="A19" i="109" s="1"/>
  <c r="C5" i="109"/>
  <c r="A5" i="109"/>
  <c r="X53" i="108"/>
  <c r="W53" i="108"/>
  <c r="V53" i="108"/>
  <c r="P53" i="108"/>
  <c r="B53" i="108"/>
  <c r="C53" i="108" s="1"/>
  <c r="D53" i="108" s="1"/>
  <c r="E53" i="108" s="1"/>
  <c r="F53" i="108" s="1"/>
  <c r="G53" i="108" s="1"/>
  <c r="H53" i="108" s="1"/>
  <c r="I53" i="108" s="1"/>
  <c r="J53" i="108" s="1"/>
  <c r="Y52" i="108"/>
  <c r="Y51" i="108"/>
  <c r="Y50" i="108"/>
  <c r="T48" i="108"/>
  <c r="S48" i="108"/>
  <c r="S47" i="108"/>
  <c r="S53" i="108" s="1"/>
  <c r="R47" i="108"/>
  <c r="Q47" i="108"/>
  <c r="J46" i="108"/>
  <c r="V39" i="108"/>
  <c r="U39" i="108"/>
  <c r="V49" i="108" s="1"/>
  <c r="T39" i="108"/>
  <c r="S39" i="108"/>
  <c r="U49" i="108" s="1"/>
  <c r="R39" i="108"/>
  <c r="Q39" i="108"/>
  <c r="T49" i="108" s="1"/>
  <c r="P39" i="108"/>
  <c r="S49" i="108" s="1"/>
  <c r="Y49" i="108" s="1"/>
  <c r="V38" i="108"/>
  <c r="A38" i="108"/>
  <c r="X30" i="108"/>
  <c r="W30" i="108"/>
  <c r="I46" i="108" s="1"/>
  <c r="V30" i="108"/>
  <c r="H46" i="108" s="1"/>
  <c r="U30" i="108"/>
  <c r="G46" i="108" s="1"/>
  <c r="T30" i="108"/>
  <c r="F46" i="108" s="1"/>
  <c r="S30" i="108"/>
  <c r="E46" i="108" s="1"/>
  <c r="R30" i="108"/>
  <c r="D46" i="108" s="1"/>
  <c r="Q30" i="108"/>
  <c r="C46" i="108" s="1"/>
  <c r="P30" i="108"/>
  <c r="B46" i="108" s="1"/>
  <c r="K46" i="108" s="1"/>
  <c r="G30" i="108"/>
  <c r="C30" i="108"/>
  <c r="Y29" i="108"/>
  <c r="J29" i="108"/>
  <c r="I29" i="108"/>
  <c r="H29" i="108"/>
  <c r="G29" i="108"/>
  <c r="F29" i="108"/>
  <c r="E29" i="108"/>
  <c r="D29" i="108"/>
  <c r="C29" i="108"/>
  <c r="B29" i="108"/>
  <c r="K29" i="108" s="1"/>
  <c r="A29" i="108"/>
  <c r="Y28" i="108"/>
  <c r="J28" i="108"/>
  <c r="I28" i="108"/>
  <c r="H28" i="108"/>
  <c r="G28" i="108"/>
  <c r="F28" i="108"/>
  <c r="E28" i="108"/>
  <c r="D28" i="108"/>
  <c r="C28" i="108"/>
  <c r="B28" i="108"/>
  <c r="K28" i="108" s="1"/>
  <c r="A28" i="108"/>
  <c r="Y27" i="108"/>
  <c r="J27" i="108"/>
  <c r="I27" i="108"/>
  <c r="H27" i="108"/>
  <c r="G27" i="108"/>
  <c r="F27" i="108"/>
  <c r="E27" i="108"/>
  <c r="D27" i="108"/>
  <c r="C27" i="108"/>
  <c r="B27" i="108"/>
  <c r="K27" i="108" s="1"/>
  <c r="A27" i="108"/>
  <c r="Y26" i="108"/>
  <c r="J26" i="108"/>
  <c r="I26" i="108"/>
  <c r="H26" i="108"/>
  <c r="G26" i="108"/>
  <c r="F26" i="108"/>
  <c r="E26" i="108"/>
  <c r="D26" i="108"/>
  <c r="C26" i="108"/>
  <c r="B26" i="108"/>
  <c r="K26" i="108" s="1"/>
  <c r="A26" i="108"/>
  <c r="Y25" i="108"/>
  <c r="J25" i="108"/>
  <c r="I25" i="108"/>
  <c r="H25" i="108"/>
  <c r="G25" i="108"/>
  <c r="F25" i="108"/>
  <c r="E25" i="108"/>
  <c r="D25" i="108"/>
  <c r="C25" i="108"/>
  <c r="B25" i="108"/>
  <c r="K25" i="108" s="1"/>
  <c r="A25" i="108"/>
  <c r="Y24" i="108"/>
  <c r="J24" i="108"/>
  <c r="J30" i="108" s="1"/>
  <c r="I24" i="108"/>
  <c r="I30" i="108" s="1"/>
  <c r="H24" i="108"/>
  <c r="H30" i="108" s="1"/>
  <c r="G24" i="108"/>
  <c r="F24" i="108"/>
  <c r="F30" i="108" s="1"/>
  <c r="E24" i="108"/>
  <c r="E30" i="108" s="1"/>
  <c r="D24" i="108"/>
  <c r="D30" i="108" s="1"/>
  <c r="C24" i="108"/>
  <c r="B24" i="108"/>
  <c r="B30" i="108" s="1"/>
  <c r="A24" i="108"/>
  <c r="C19" i="108"/>
  <c r="A37" i="108" s="1"/>
  <c r="A19" i="108"/>
  <c r="C15" i="108"/>
  <c r="C5" i="108"/>
  <c r="A5" i="108"/>
  <c r="X53" i="107"/>
  <c r="W53" i="107"/>
  <c r="P53" i="107"/>
  <c r="Y52" i="107"/>
  <c r="Y51" i="107"/>
  <c r="Y50" i="107"/>
  <c r="V49" i="107"/>
  <c r="V53" i="107" s="1"/>
  <c r="S49" i="107"/>
  <c r="R48" i="107"/>
  <c r="S47" i="107"/>
  <c r="S53" i="107" s="1"/>
  <c r="R47" i="107"/>
  <c r="R53" i="107" s="1"/>
  <c r="Q47" i="107"/>
  <c r="Q53" i="107" s="1"/>
  <c r="I46" i="107"/>
  <c r="H46" i="107"/>
  <c r="G46" i="107"/>
  <c r="F46" i="107"/>
  <c r="U39" i="107"/>
  <c r="T39" i="107"/>
  <c r="V39" i="107" s="1"/>
  <c r="S39" i="107"/>
  <c r="R39" i="107"/>
  <c r="Q39" i="107"/>
  <c r="S48" i="107" s="1"/>
  <c r="P39" i="107"/>
  <c r="V38" i="107"/>
  <c r="A37" i="107"/>
  <c r="X30" i="107"/>
  <c r="J46" i="107" s="1"/>
  <c r="W30" i="107"/>
  <c r="V30" i="107"/>
  <c r="U30" i="107"/>
  <c r="T30" i="107"/>
  <c r="S30" i="107"/>
  <c r="E46" i="107" s="1"/>
  <c r="R30" i="107"/>
  <c r="D46" i="107" s="1"/>
  <c r="Q30" i="107"/>
  <c r="C46" i="107" s="1"/>
  <c r="P30" i="107"/>
  <c r="B46" i="107" s="1"/>
  <c r="B53" i="107" s="1"/>
  <c r="C53" i="107" s="1"/>
  <c r="D53" i="107" s="1"/>
  <c r="E53" i="107" s="1"/>
  <c r="F53" i="107" s="1"/>
  <c r="G53" i="107" s="1"/>
  <c r="H53" i="107" s="1"/>
  <c r="I53" i="107" s="1"/>
  <c r="J53" i="107" s="1"/>
  <c r="J30" i="107"/>
  <c r="H30" i="107"/>
  <c r="C30" i="107"/>
  <c r="B30" i="107"/>
  <c r="K30" i="107" s="1"/>
  <c r="Y29" i="107"/>
  <c r="K29" i="107"/>
  <c r="J29" i="107"/>
  <c r="I29" i="107"/>
  <c r="H29" i="107"/>
  <c r="G29" i="107"/>
  <c r="F29" i="107"/>
  <c r="E29" i="107"/>
  <c r="D29" i="107"/>
  <c r="C29" i="107"/>
  <c r="B29" i="107"/>
  <c r="A29" i="107"/>
  <c r="Y28" i="107"/>
  <c r="K28" i="107"/>
  <c r="J28" i="107"/>
  <c r="I28" i="107"/>
  <c r="H28" i="107"/>
  <c r="G28" i="107"/>
  <c r="F28" i="107"/>
  <c r="E28" i="107"/>
  <c r="D28" i="107"/>
  <c r="C28" i="107"/>
  <c r="B28" i="107"/>
  <c r="A28" i="107"/>
  <c r="Y27" i="107"/>
  <c r="K27" i="107"/>
  <c r="J27" i="107"/>
  <c r="I27" i="107"/>
  <c r="H27" i="107"/>
  <c r="G27" i="107"/>
  <c r="F27" i="107"/>
  <c r="E27" i="107"/>
  <c r="D27" i="107"/>
  <c r="C27" i="107"/>
  <c r="B27" i="107"/>
  <c r="A27" i="107"/>
  <c r="Y26" i="107"/>
  <c r="K26" i="107"/>
  <c r="J26" i="107"/>
  <c r="I26" i="107"/>
  <c r="H26" i="107"/>
  <c r="G26" i="107"/>
  <c r="F26" i="107"/>
  <c r="E26" i="107"/>
  <c r="D26" i="107"/>
  <c r="C26" i="107"/>
  <c r="B26" i="107"/>
  <c r="A26" i="107"/>
  <c r="Y25" i="107"/>
  <c r="K25" i="107"/>
  <c r="J25" i="107"/>
  <c r="I25" i="107"/>
  <c r="H25" i="107"/>
  <c r="G25" i="107"/>
  <c r="F25" i="107"/>
  <c r="E25" i="107"/>
  <c r="D25" i="107"/>
  <c r="C25" i="107"/>
  <c r="B25" i="107"/>
  <c r="A25" i="107"/>
  <c r="Y24" i="107"/>
  <c r="K24" i="107"/>
  <c r="J24" i="107"/>
  <c r="I24" i="107"/>
  <c r="I30" i="107" s="1"/>
  <c r="H24" i="107"/>
  <c r="G24" i="107"/>
  <c r="G30" i="107" s="1"/>
  <c r="F24" i="107"/>
  <c r="F30" i="107" s="1"/>
  <c r="E24" i="107"/>
  <c r="E30" i="107" s="1"/>
  <c r="D24" i="107"/>
  <c r="D30" i="107" s="1"/>
  <c r="C24" i="107"/>
  <c r="B24" i="107"/>
  <c r="A24" i="107"/>
  <c r="C19" i="107"/>
  <c r="A38" i="107" s="1"/>
  <c r="C15" i="107"/>
  <c r="C5" i="107"/>
  <c r="A5" i="107"/>
  <c r="X53" i="106"/>
  <c r="W53" i="106"/>
  <c r="P53" i="106"/>
  <c r="Y52" i="106"/>
  <c r="Y51" i="106"/>
  <c r="Y50" i="106"/>
  <c r="V49" i="106"/>
  <c r="V53" i="106" s="1"/>
  <c r="U48" i="106"/>
  <c r="T48" i="106"/>
  <c r="S48" i="106"/>
  <c r="T47" i="106"/>
  <c r="E46" i="106"/>
  <c r="D46" i="106"/>
  <c r="C46" i="106"/>
  <c r="B46" i="106"/>
  <c r="U39" i="106"/>
  <c r="T39" i="106"/>
  <c r="U49" i="106" s="1"/>
  <c r="S39" i="106"/>
  <c r="R39" i="106"/>
  <c r="Q39" i="106"/>
  <c r="P39" i="106"/>
  <c r="V38" i="106"/>
  <c r="X30" i="106"/>
  <c r="J46" i="106" s="1"/>
  <c r="W30" i="106"/>
  <c r="I46" i="106" s="1"/>
  <c r="V30" i="106"/>
  <c r="H46" i="106" s="1"/>
  <c r="U30" i="106"/>
  <c r="G46" i="106" s="1"/>
  <c r="T30" i="106"/>
  <c r="Y30" i="106" s="1"/>
  <c r="S30" i="106"/>
  <c r="R30" i="106"/>
  <c r="Q30" i="106"/>
  <c r="P30" i="106"/>
  <c r="J30" i="106"/>
  <c r="Y29" i="106"/>
  <c r="J29" i="106"/>
  <c r="I29" i="106"/>
  <c r="H29" i="106"/>
  <c r="G29" i="106"/>
  <c r="F29" i="106"/>
  <c r="E29" i="106"/>
  <c r="D29" i="106"/>
  <c r="C29" i="106"/>
  <c r="B29" i="106"/>
  <c r="A29" i="106"/>
  <c r="Y28" i="106"/>
  <c r="J28" i="106"/>
  <c r="I28" i="106"/>
  <c r="H28" i="106"/>
  <c r="G28" i="106"/>
  <c r="F28" i="106"/>
  <c r="E28" i="106"/>
  <c r="D28" i="106"/>
  <c r="C28" i="106"/>
  <c r="B28" i="106"/>
  <c r="A28" i="106"/>
  <c r="Y27" i="106"/>
  <c r="J27" i="106"/>
  <c r="I27" i="106"/>
  <c r="H27" i="106"/>
  <c r="G27" i="106"/>
  <c r="F27" i="106"/>
  <c r="E27" i="106"/>
  <c r="D27" i="106"/>
  <c r="C27" i="106"/>
  <c r="B27" i="106"/>
  <c r="A27" i="106"/>
  <c r="Y26" i="106"/>
  <c r="J26" i="106"/>
  <c r="I26" i="106"/>
  <c r="H26" i="106"/>
  <c r="G26" i="106"/>
  <c r="F26" i="106"/>
  <c r="E26" i="106"/>
  <c r="D26" i="106"/>
  <c r="C26" i="106"/>
  <c r="B26" i="106"/>
  <c r="A26" i="106"/>
  <c r="Y25" i="106"/>
  <c r="J25" i="106"/>
  <c r="I25" i="106"/>
  <c r="H25" i="106"/>
  <c r="G25" i="106"/>
  <c r="F25" i="106"/>
  <c r="E25" i="106"/>
  <c r="D25" i="106"/>
  <c r="C25" i="106"/>
  <c r="K25" i="106" s="1"/>
  <c r="B25" i="106"/>
  <c r="A25" i="106"/>
  <c r="Y24" i="106"/>
  <c r="J24" i="106"/>
  <c r="I24" i="106"/>
  <c r="I30" i="106" s="1"/>
  <c r="H24" i="106"/>
  <c r="H30" i="106" s="1"/>
  <c r="G24" i="106"/>
  <c r="F24" i="106"/>
  <c r="E24" i="106"/>
  <c r="D24" i="106"/>
  <c r="C24" i="106"/>
  <c r="B24" i="106"/>
  <c r="B30" i="106" s="1"/>
  <c r="A24" i="106"/>
  <c r="C19" i="106"/>
  <c r="A39" i="106" s="1"/>
  <c r="A19" i="106"/>
  <c r="C15" i="106"/>
  <c r="C5" i="106"/>
  <c r="A5" i="106"/>
  <c r="X53" i="105"/>
  <c r="W53" i="105"/>
  <c r="P53" i="105"/>
  <c r="Y52" i="105"/>
  <c r="Y51" i="105"/>
  <c r="Y50" i="105"/>
  <c r="S48" i="105"/>
  <c r="R47" i="105"/>
  <c r="Q47" i="105"/>
  <c r="J46" i="105"/>
  <c r="I46" i="105"/>
  <c r="H46" i="105"/>
  <c r="U39" i="105"/>
  <c r="T39" i="105"/>
  <c r="S39" i="105"/>
  <c r="U49" i="105" s="1"/>
  <c r="R39" i="105"/>
  <c r="Q39" i="105"/>
  <c r="T49" i="105" s="1"/>
  <c r="P39" i="105"/>
  <c r="S49" i="105" s="1"/>
  <c r="A39" i="105"/>
  <c r="V38" i="105"/>
  <c r="X30" i="105"/>
  <c r="W30" i="105"/>
  <c r="V30" i="105"/>
  <c r="U30" i="105"/>
  <c r="G46" i="105" s="1"/>
  <c r="T30" i="105"/>
  <c r="F46" i="105" s="1"/>
  <c r="S30" i="105"/>
  <c r="E46" i="105" s="1"/>
  <c r="R30" i="105"/>
  <c r="D46" i="105" s="1"/>
  <c r="Q30" i="105"/>
  <c r="C46" i="105" s="1"/>
  <c r="P30" i="105"/>
  <c r="G30" i="105"/>
  <c r="F30" i="105"/>
  <c r="D30" i="105"/>
  <c r="B30" i="105"/>
  <c r="Y29" i="105"/>
  <c r="J29" i="105"/>
  <c r="I29" i="105"/>
  <c r="H29" i="105"/>
  <c r="G29" i="105"/>
  <c r="F29" i="105"/>
  <c r="E29" i="105"/>
  <c r="D29" i="105"/>
  <c r="C29" i="105"/>
  <c r="K29" i="105" s="1"/>
  <c r="B29" i="105"/>
  <c r="A29" i="105"/>
  <c r="Y28" i="105"/>
  <c r="J28" i="105"/>
  <c r="I28" i="105"/>
  <c r="H28" i="105"/>
  <c r="G28" i="105"/>
  <c r="F28" i="105"/>
  <c r="E28" i="105"/>
  <c r="D28" i="105"/>
  <c r="C28" i="105"/>
  <c r="K28" i="105" s="1"/>
  <c r="B28" i="105"/>
  <c r="A28" i="105"/>
  <c r="Y27" i="105"/>
  <c r="J27" i="105"/>
  <c r="I27" i="105"/>
  <c r="H27" i="105"/>
  <c r="G27" i="105"/>
  <c r="F27" i="105"/>
  <c r="E27" i="105"/>
  <c r="D27" i="105"/>
  <c r="C27" i="105"/>
  <c r="B27" i="105"/>
  <c r="A27" i="105"/>
  <c r="Y26" i="105"/>
  <c r="J26" i="105"/>
  <c r="I26" i="105"/>
  <c r="H26" i="105"/>
  <c r="G26" i="105"/>
  <c r="F26" i="105"/>
  <c r="E26" i="105"/>
  <c r="D26" i="105"/>
  <c r="C26" i="105"/>
  <c r="K26" i="105" s="1"/>
  <c r="B26" i="105"/>
  <c r="A26" i="105"/>
  <c r="Y25" i="105"/>
  <c r="J25" i="105"/>
  <c r="I25" i="105"/>
  <c r="H25" i="105"/>
  <c r="G25" i="105"/>
  <c r="F25" i="105"/>
  <c r="E25" i="105"/>
  <c r="D25" i="105"/>
  <c r="C25" i="105"/>
  <c r="K25" i="105" s="1"/>
  <c r="B25" i="105"/>
  <c r="A25" i="105"/>
  <c r="Y24" i="105"/>
  <c r="J24" i="105"/>
  <c r="J30" i="105" s="1"/>
  <c r="I24" i="105"/>
  <c r="I30" i="105" s="1"/>
  <c r="H24" i="105"/>
  <c r="H30" i="105" s="1"/>
  <c r="G24" i="105"/>
  <c r="F24" i="105"/>
  <c r="E24" i="105"/>
  <c r="D24" i="105"/>
  <c r="C24" i="105"/>
  <c r="C30" i="105" s="1"/>
  <c r="B24" i="105"/>
  <c r="A24" i="105"/>
  <c r="C19" i="105"/>
  <c r="A37" i="105" s="1"/>
  <c r="C15" i="105"/>
  <c r="C5" i="105"/>
  <c r="A5" i="105"/>
  <c r="X53" i="104"/>
  <c r="W53" i="104"/>
  <c r="P53" i="104"/>
  <c r="C53" i="104"/>
  <c r="D53" i="104" s="1"/>
  <c r="E53" i="104" s="1"/>
  <c r="F53" i="104" s="1"/>
  <c r="G53" i="104" s="1"/>
  <c r="H53" i="104" s="1"/>
  <c r="Y52" i="104"/>
  <c r="Y51" i="104"/>
  <c r="Y50" i="104"/>
  <c r="S49" i="104"/>
  <c r="H46" i="104"/>
  <c r="F46" i="104"/>
  <c r="U39" i="104"/>
  <c r="T39" i="104"/>
  <c r="S39" i="104"/>
  <c r="U49" i="104" s="1"/>
  <c r="R39" i="104"/>
  <c r="Q39" i="104"/>
  <c r="S48" i="104" s="1"/>
  <c r="P39" i="104"/>
  <c r="R48" i="104" s="1"/>
  <c r="V38" i="104"/>
  <c r="X30" i="104"/>
  <c r="J46" i="104" s="1"/>
  <c r="W30" i="104"/>
  <c r="V30" i="104"/>
  <c r="U30" i="104"/>
  <c r="G46" i="104" s="1"/>
  <c r="T30" i="104"/>
  <c r="S30" i="104"/>
  <c r="E46" i="104" s="1"/>
  <c r="R30" i="104"/>
  <c r="D46" i="104" s="1"/>
  <c r="Q30" i="104"/>
  <c r="C46" i="104" s="1"/>
  <c r="P30" i="104"/>
  <c r="B46" i="104" s="1"/>
  <c r="B53" i="104" s="1"/>
  <c r="J30" i="104"/>
  <c r="I30" i="104"/>
  <c r="H30" i="104"/>
  <c r="Y29" i="104"/>
  <c r="J29" i="104"/>
  <c r="I29" i="104"/>
  <c r="H29" i="104"/>
  <c r="G29" i="104"/>
  <c r="F29" i="104"/>
  <c r="E29" i="104"/>
  <c r="D29" i="104"/>
  <c r="C29" i="104"/>
  <c r="B29" i="104"/>
  <c r="K29" i="104" s="1"/>
  <c r="A29" i="104"/>
  <c r="Y28" i="104"/>
  <c r="J28" i="104"/>
  <c r="I28" i="104"/>
  <c r="H28" i="104"/>
  <c r="G28" i="104"/>
  <c r="F28" i="104"/>
  <c r="E28" i="104"/>
  <c r="D28" i="104"/>
  <c r="C28" i="104"/>
  <c r="B28" i="104"/>
  <c r="K28" i="104" s="1"/>
  <c r="A28" i="104"/>
  <c r="Y27" i="104"/>
  <c r="J27" i="104"/>
  <c r="I27" i="104"/>
  <c r="H27" i="104"/>
  <c r="G27" i="104"/>
  <c r="F27" i="104"/>
  <c r="E27" i="104"/>
  <c r="D27" i="104"/>
  <c r="C27" i="104"/>
  <c r="B27" i="104"/>
  <c r="A27" i="104"/>
  <c r="Y26" i="104"/>
  <c r="J26" i="104"/>
  <c r="I26" i="104"/>
  <c r="H26" i="104"/>
  <c r="G26" i="104"/>
  <c r="F26" i="104"/>
  <c r="E26" i="104"/>
  <c r="D26" i="104"/>
  <c r="C26" i="104"/>
  <c r="B26" i="104"/>
  <c r="A26" i="104"/>
  <c r="Y25" i="104"/>
  <c r="J25" i="104"/>
  <c r="I25" i="104"/>
  <c r="H25" i="104"/>
  <c r="G25" i="104"/>
  <c r="F25" i="104"/>
  <c r="E25" i="104"/>
  <c r="D25" i="104"/>
  <c r="C25" i="104"/>
  <c r="B25" i="104"/>
  <c r="A25" i="104"/>
  <c r="Y24" i="104"/>
  <c r="J24" i="104"/>
  <c r="I24" i="104"/>
  <c r="H24" i="104"/>
  <c r="G24" i="104"/>
  <c r="F24" i="104"/>
  <c r="E24" i="104"/>
  <c r="E30" i="104" s="1"/>
  <c r="D24" i="104"/>
  <c r="D30" i="104" s="1"/>
  <c r="C24" i="104"/>
  <c r="C30" i="104" s="1"/>
  <c r="B24" i="104"/>
  <c r="B30" i="104" s="1"/>
  <c r="A24" i="104"/>
  <c r="C19" i="104"/>
  <c r="C5" i="104"/>
  <c r="A5" i="104"/>
  <c r="X53" i="103"/>
  <c r="W53" i="103"/>
  <c r="V53" i="103"/>
  <c r="P53" i="103"/>
  <c r="Y52" i="103"/>
  <c r="Y51" i="103"/>
  <c r="Y50" i="103"/>
  <c r="U48" i="103"/>
  <c r="T48" i="103"/>
  <c r="S48" i="103"/>
  <c r="R48" i="103"/>
  <c r="T47" i="103"/>
  <c r="T53" i="103" s="1"/>
  <c r="S47" i="103"/>
  <c r="B46" i="103"/>
  <c r="B53" i="103" s="1"/>
  <c r="C53" i="103" s="1"/>
  <c r="D53" i="103" s="1"/>
  <c r="U39" i="103"/>
  <c r="V49" i="103" s="1"/>
  <c r="T39" i="103"/>
  <c r="S39" i="103"/>
  <c r="U49" i="103" s="1"/>
  <c r="U53" i="103" s="1"/>
  <c r="R39" i="103"/>
  <c r="T49" i="103" s="1"/>
  <c r="Q39" i="103"/>
  <c r="R47" i="103" s="1"/>
  <c r="R53" i="103" s="1"/>
  <c r="P39" i="103"/>
  <c r="Q47" i="103" s="1"/>
  <c r="A39" i="103"/>
  <c r="V38" i="103"/>
  <c r="A38" i="103"/>
  <c r="X30" i="103"/>
  <c r="J46" i="103" s="1"/>
  <c r="W30" i="103"/>
  <c r="I46" i="103" s="1"/>
  <c r="V30" i="103"/>
  <c r="H46" i="103" s="1"/>
  <c r="U30" i="103"/>
  <c r="G46" i="103" s="1"/>
  <c r="T30" i="103"/>
  <c r="F46" i="103" s="1"/>
  <c r="S30" i="103"/>
  <c r="R30" i="103"/>
  <c r="D46" i="103" s="1"/>
  <c r="Q30" i="103"/>
  <c r="C46" i="103" s="1"/>
  <c r="P30" i="103"/>
  <c r="F30" i="103"/>
  <c r="E30" i="103"/>
  <c r="D30" i="103"/>
  <c r="Y29" i="103"/>
  <c r="J29" i="103"/>
  <c r="I29" i="103"/>
  <c r="H29" i="103"/>
  <c r="G29" i="103"/>
  <c r="F29" i="103"/>
  <c r="E29" i="103"/>
  <c r="D29" i="103"/>
  <c r="C29" i="103"/>
  <c r="B29" i="103"/>
  <c r="A29" i="103"/>
  <c r="Y28" i="103"/>
  <c r="J28" i="103"/>
  <c r="I28" i="103"/>
  <c r="H28" i="103"/>
  <c r="G28" i="103"/>
  <c r="F28" i="103"/>
  <c r="E28" i="103"/>
  <c r="D28" i="103"/>
  <c r="C28" i="103"/>
  <c r="B28" i="103"/>
  <c r="K28" i="103" s="1"/>
  <c r="A28" i="103"/>
  <c r="Y27" i="103"/>
  <c r="J27" i="103"/>
  <c r="I27" i="103"/>
  <c r="H27" i="103"/>
  <c r="G27" i="103"/>
  <c r="F27" i="103"/>
  <c r="E27" i="103"/>
  <c r="D27" i="103"/>
  <c r="C27" i="103"/>
  <c r="B27" i="103"/>
  <c r="K27" i="103" s="1"/>
  <c r="A27" i="103"/>
  <c r="Y26" i="103"/>
  <c r="J26" i="103"/>
  <c r="I26" i="103"/>
  <c r="H26" i="103"/>
  <c r="G26" i="103"/>
  <c r="F26" i="103"/>
  <c r="E26" i="103"/>
  <c r="D26" i="103"/>
  <c r="C26" i="103"/>
  <c r="B26" i="103"/>
  <c r="A26" i="103"/>
  <c r="Y25" i="103"/>
  <c r="J25" i="103"/>
  <c r="I25" i="103"/>
  <c r="H25" i="103"/>
  <c r="G25" i="103"/>
  <c r="F25" i="103"/>
  <c r="E25" i="103"/>
  <c r="D25" i="103"/>
  <c r="C25" i="103"/>
  <c r="B25" i="103"/>
  <c r="A25" i="103"/>
  <c r="Y24" i="103"/>
  <c r="J24" i="103"/>
  <c r="J30" i="103" s="1"/>
  <c r="I24" i="103"/>
  <c r="I30" i="103" s="1"/>
  <c r="H24" i="103"/>
  <c r="H30" i="103" s="1"/>
  <c r="G24" i="103"/>
  <c r="G30" i="103" s="1"/>
  <c r="F24" i="103"/>
  <c r="E24" i="103"/>
  <c r="D24" i="103"/>
  <c r="C24" i="103"/>
  <c r="B24" i="103"/>
  <c r="A24" i="103"/>
  <c r="C19" i="103"/>
  <c r="A19" i="103"/>
  <c r="C15" i="103"/>
  <c r="C5" i="103"/>
  <c r="A5" i="103"/>
  <c r="X53" i="17"/>
  <c r="W53" i="17"/>
  <c r="P53" i="17"/>
  <c r="Y52" i="17"/>
  <c r="Y51" i="17"/>
  <c r="Y50" i="17"/>
  <c r="J46" i="17"/>
  <c r="I46" i="17"/>
  <c r="H46" i="17"/>
  <c r="U39" i="17"/>
  <c r="T39" i="17"/>
  <c r="S39" i="17"/>
  <c r="R39" i="17"/>
  <c r="Q39" i="17"/>
  <c r="T49" i="17" s="1"/>
  <c r="P39" i="17"/>
  <c r="S49" i="17" s="1"/>
  <c r="V38" i="17"/>
  <c r="X30" i="17"/>
  <c r="W30" i="17"/>
  <c r="V30" i="17"/>
  <c r="U30" i="17"/>
  <c r="G46" i="17" s="1"/>
  <c r="T30" i="17"/>
  <c r="F46" i="17" s="1"/>
  <c r="S30" i="17"/>
  <c r="E46" i="17" s="1"/>
  <c r="R30" i="17"/>
  <c r="D46" i="17" s="1"/>
  <c r="Q30" i="17"/>
  <c r="C46" i="17" s="1"/>
  <c r="P30" i="17"/>
  <c r="B30" i="17"/>
  <c r="Y29" i="17"/>
  <c r="J29" i="17"/>
  <c r="K29" i="17" s="1"/>
  <c r="I29" i="17"/>
  <c r="H29" i="17"/>
  <c r="G29" i="17"/>
  <c r="F29" i="17"/>
  <c r="E29" i="17"/>
  <c r="D29" i="17"/>
  <c r="C29" i="17"/>
  <c r="B29" i="17"/>
  <c r="A29" i="17"/>
  <c r="Y28" i="17"/>
  <c r="J28" i="17"/>
  <c r="K28" i="17" s="1"/>
  <c r="I28" i="17"/>
  <c r="H28" i="17"/>
  <c r="G28" i="17"/>
  <c r="F28" i="17"/>
  <c r="E28" i="17"/>
  <c r="D28" i="17"/>
  <c r="C28" i="17"/>
  <c r="B28" i="17"/>
  <c r="A28" i="17"/>
  <c r="Y27" i="17"/>
  <c r="J27" i="17"/>
  <c r="I27" i="17"/>
  <c r="H27" i="17"/>
  <c r="G27" i="17"/>
  <c r="F27" i="17"/>
  <c r="E27" i="17"/>
  <c r="D27" i="17"/>
  <c r="C27" i="17"/>
  <c r="B27" i="17"/>
  <c r="A27" i="17"/>
  <c r="Y26" i="17"/>
  <c r="J26" i="17"/>
  <c r="I26" i="17"/>
  <c r="H26" i="17"/>
  <c r="G26" i="17"/>
  <c r="F26" i="17"/>
  <c r="E26" i="17"/>
  <c r="D26" i="17"/>
  <c r="C26" i="17"/>
  <c r="B26" i="17"/>
  <c r="A26" i="17"/>
  <c r="Y25" i="17"/>
  <c r="J25" i="17"/>
  <c r="K25" i="17" s="1"/>
  <c r="I25" i="17"/>
  <c r="H25" i="17"/>
  <c r="G25" i="17"/>
  <c r="F25" i="17"/>
  <c r="E25" i="17"/>
  <c r="D25" i="17"/>
  <c r="C25" i="17"/>
  <c r="B25" i="17"/>
  <c r="A25" i="17"/>
  <c r="Y24" i="17"/>
  <c r="J24" i="17"/>
  <c r="J30" i="17" s="1"/>
  <c r="I24" i="17"/>
  <c r="I30" i="17" s="1"/>
  <c r="H24" i="17"/>
  <c r="H30" i="17" s="1"/>
  <c r="G24" i="17"/>
  <c r="G30" i="17" s="1"/>
  <c r="F24" i="17"/>
  <c r="F30" i="17" s="1"/>
  <c r="E24" i="17"/>
  <c r="E30" i="17" s="1"/>
  <c r="D24" i="17"/>
  <c r="C24" i="17"/>
  <c r="B24" i="17"/>
  <c r="A24" i="17"/>
  <c r="C19" i="17"/>
  <c r="A37" i="17" s="1"/>
  <c r="C15" i="17"/>
  <c r="C5" i="17"/>
  <c r="A5" i="17"/>
  <c r="X53" i="12"/>
  <c r="W53" i="12"/>
  <c r="P53" i="12"/>
  <c r="Y52" i="12"/>
  <c r="Y51" i="12"/>
  <c r="Y50" i="12"/>
  <c r="E46" i="12"/>
  <c r="D46" i="12"/>
  <c r="C46" i="12"/>
  <c r="U39" i="12"/>
  <c r="U48" i="12" s="1"/>
  <c r="T39" i="12"/>
  <c r="S39" i="12"/>
  <c r="T48" i="12" s="1"/>
  <c r="R39" i="12"/>
  <c r="Q39" i="12"/>
  <c r="P39" i="12"/>
  <c r="S49" i="12" s="1"/>
  <c r="V38" i="12"/>
  <c r="X30" i="12"/>
  <c r="J46" i="12" s="1"/>
  <c r="W30" i="12"/>
  <c r="V30" i="12"/>
  <c r="H46" i="12" s="1"/>
  <c r="U30" i="12"/>
  <c r="G46" i="12" s="1"/>
  <c r="T30" i="12"/>
  <c r="F46" i="12" s="1"/>
  <c r="S30" i="12"/>
  <c r="R30" i="12"/>
  <c r="Q30" i="12"/>
  <c r="P30" i="12"/>
  <c r="B46" i="12" s="1"/>
  <c r="J30" i="12"/>
  <c r="I30" i="12"/>
  <c r="Y29" i="12"/>
  <c r="J29" i="12"/>
  <c r="I29" i="12"/>
  <c r="H29" i="12"/>
  <c r="G29" i="12"/>
  <c r="F29" i="12"/>
  <c r="E29" i="12"/>
  <c r="D29" i="12"/>
  <c r="C29" i="12"/>
  <c r="B29" i="12"/>
  <c r="K29" i="12" s="1"/>
  <c r="A29" i="12"/>
  <c r="Y28" i="12"/>
  <c r="J28" i="12"/>
  <c r="I28" i="12"/>
  <c r="H28" i="12"/>
  <c r="G28" i="12"/>
  <c r="F28" i="12"/>
  <c r="E28" i="12"/>
  <c r="D28" i="12"/>
  <c r="C28" i="12"/>
  <c r="B28" i="12"/>
  <c r="K28" i="12" s="1"/>
  <c r="A28" i="12"/>
  <c r="Y27" i="12"/>
  <c r="J27" i="12"/>
  <c r="I27" i="12"/>
  <c r="H27" i="12"/>
  <c r="H30" i="12" s="1"/>
  <c r="G27" i="12"/>
  <c r="F27" i="12"/>
  <c r="E27" i="12"/>
  <c r="D27" i="12"/>
  <c r="C27" i="12"/>
  <c r="B27" i="12"/>
  <c r="A27" i="12"/>
  <c r="Y26" i="12"/>
  <c r="J26" i="12"/>
  <c r="I26" i="12"/>
  <c r="H26" i="12"/>
  <c r="G26" i="12"/>
  <c r="F26" i="12"/>
  <c r="E26" i="12"/>
  <c r="D26" i="12"/>
  <c r="C26" i="12"/>
  <c r="B26" i="12"/>
  <c r="A26" i="12"/>
  <c r="Y25" i="12"/>
  <c r="J25" i="12"/>
  <c r="I25" i="12"/>
  <c r="H25" i="12"/>
  <c r="G25" i="12"/>
  <c r="F25" i="12"/>
  <c r="E25" i="12"/>
  <c r="D25" i="12"/>
  <c r="C25" i="12"/>
  <c r="B25" i="12"/>
  <c r="A25" i="12"/>
  <c r="Y24" i="12"/>
  <c r="J24" i="12"/>
  <c r="I24" i="12"/>
  <c r="H24" i="12"/>
  <c r="G24" i="12"/>
  <c r="F24" i="12"/>
  <c r="E24" i="12"/>
  <c r="D24" i="12"/>
  <c r="C24" i="12"/>
  <c r="C30" i="12" s="1"/>
  <c r="B24" i="12"/>
  <c r="B30" i="12" s="1"/>
  <c r="A24" i="12"/>
  <c r="C19" i="12"/>
  <c r="C5" i="12"/>
  <c r="A5" i="12"/>
  <c r="H52" i="14"/>
  <c r="C47" i="14"/>
  <c r="B41" i="14"/>
  <c r="B40" i="14"/>
  <c r="B39" i="14"/>
  <c r="B38" i="14"/>
  <c r="B37" i="14"/>
  <c r="B36" i="14"/>
  <c r="B35" i="14"/>
  <c r="B34" i="14"/>
  <c r="B33" i="14"/>
  <c r="B32" i="14"/>
  <c r="A25" i="14"/>
  <c r="A24" i="14"/>
  <c r="A23" i="14"/>
  <c r="A22" i="14"/>
  <c r="K21" i="14"/>
  <c r="K52" i="14" s="1"/>
  <c r="J21" i="14"/>
  <c r="J52" i="14" s="1"/>
  <c r="I21" i="14"/>
  <c r="I52" i="14" s="1"/>
  <c r="H21" i="14"/>
  <c r="G21" i="14"/>
  <c r="G52" i="14" s="1"/>
  <c r="F21" i="14"/>
  <c r="F52" i="14" s="1"/>
  <c r="E21" i="14"/>
  <c r="E52" i="14" s="1"/>
  <c r="D21" i="14"/>
  <c r="D52" i="14" s="1"/>
  <c r="C21" i="14"/>
  <c r="C52" i="14" s="1"/>
  <c r="A21" i="14"/>
  <c r="A20" i="14"/>
  <c r="K19" i="14"/>
  <c r="K51" i="14" s="1"/>
  <c r="J19" i="14"/>
  <c r="J51" i="14" s="1"/>
  <c r="I19" i="14"/>
  <c r="I51" i="14" s="1"/>
  <c r="H19" i="14"/>
  <c r="H51" i="14" s="1"/>
  <c r="G19" i="14"/>
  <c r="G51" i="14" s="1"/>
  <c r="F19" i="14"/>
  <c r="F51" i="14" s="1"/>
  <c r="E19" i="14"/>
  <c r="E51" i="14" s="1"/>
  <c r="D19" i="14"/>
  <c r="D51" i="14" s="1"/>
  <c r="C19" i="14"/>
  <c r="C51" i="14" s="1"/>
  <c r="A19" i="14"/>
  <c r="A18" i="14"/>
  <c r="A17" i="14"/>
  <c r="A16" i="14"/>
  <c r="A15" i="14"/>
  <c r="A14" i="14"/>
  <c r="I13" i="14"/>
  <c r="I48" i="14" s="1"/>
  <c r="H13" i="14"/>
  <c r="H48" i="14" s="1"/>
  <c r="G13" i="14"/>
  <c r="G48" i="14" s="1"/>
  <c r="F13" i="14"/>
  <c r="F48" i="14" s="1"/>
  <c r="E13" i="14"/>
  <c r="E48" i="14" s="1"/>
  <c r="D13" i="14"/>
  <c r="D48" i="14" s="1"/>
  <c r="C13" i="14"/>
  <c r="C48" i="14" s="1"/>
  <c r="A13" i="14"/>
  <c r="A12" i="14"/>
  <c r="D11" i="14"/>
  <c r="D47" i="14" s="1"/>
  <c r="C11" i="14"/>
  <c r="A11" i="14"/>
  <c r="A10" i="14"/>
  <c r="A9" i="14"/>
  <c r="A8" i="14"/>
  <c r="A7" i="14"/>
  <c r="A6" i="14"/>
  <c r="J42" i="9"/>
  <c r="A39" i="9"/>
  <c r="A36" i="9"/>
  <c r="A34" i="9"/>
  <c r="A22" i="9"/>
  <c r="O67" i="8" s="1"/>
  <c r="C17" i="9"/>
  <c r="O39" i="8"/>
  <c r="O37" i="8"/>
  <c r="O36" i="8"/>
  <c r="X35" i="8"/>
  <c r="W35" i="8"/>
  <c r="V35" i="8"/>
  <c r="U35" i="8"/>
  <c r="T35" i="8"/>
  <c r="S35" i="8"/>
  <c r="R35" i="8"/>
  <c r="Q35" i="8"/>
  <c r="P35" i="8"/>
  <c r="B30" i="8"/>
  <c r="J15" i="8"/>
  <c r="D14" i="16" s="1"/>
  <c r="E14" i="16" s="1"/>
  <c r="J13" i="8"/>
  <c r="D12" i="16" s="1"/>
  <c r="E12" i="16" s="1"/>
  <c r="D219" i="7"/>
  <c r="L213" i="7"/>
  <c r="K213" i="7"/>
  <c r="M213" i="7" s="1"/>
  <c r="W207" i="7"/>
  <c r="W206" i="7"/>
  <c r="B204" i="7"/>
  <c r="O204" i="7" s="1"/>
  <c r="D201" i="7"/>
  <c r="L195" i="7"/>
  <c r="K195" i="7"/>
  <c r="W189" i="7"/>
  <c r="W188" i="7"/>
  <c r="I34" i="109" s="1"/>
  <c r="B186" i="7"/>
  <c r="O186" i="7" s="1"/>
  <c r="D183" i="7"/>
  <c r="L177" i="7"/>
  <c r="K177" i="7"/>
  <c r="M177" i="7" s="1"/>
  <c r="W171" i="7"/>
  <c r="W170" i="7"/>
  <c r="I34" i="108" s="1"/>
  <c r="O168" i="7"/>
  <c r="B168" i="7"/>
  <c r="D165" i="7"/>
  <c r="L159" i="7"/>
  <c r="K159" i="7"/>
  <c r="M159" i="7" s="1"/>
  <c r="W153" i="7"/>
  <c r="W152" i="7"/>
  <c r="I34" i="107" s="1"/>
  <c r="B150" i="7"/>
  <c r="O150" i="7" s="1"/>
  <c r="D147" i="7"/>
  <c r="L141" i="7"/>
  <c r="K141" i="7"/>
  <c r="W135" i="7"/>
  <c r="W134" i="7"/>
  <c r="B132" i="7"/>
  <c r="O132" i="7" s="1"/>
  <c r="D129" i="7"/>
  <c r="L122" i="7"/>
  <c r="K122" i="7"/>
  <c r="L121" i="7"/>
  <c r="K121" i="7"/>
  <c r="L120" i="7"/>
  <c r="K120" i="7"/>
  <c r="V117" i="7"/>
  <c r="U117" i="7"/>
  <c r="T117" i="7"/>
  <c r="V116" i="7"/>
  <c r="H34" i="105" s="1"/>
  <c r="U116" i="7"/>
  <c r="G34" i="105" s="1"/>
  <c r="T116" i="7"/>
  <c r="F34" i="105" s="1"/>
  <c r="B114" i="7"/>
  <c r="O114" i="7" s="1"/>
  <c r="D111" i="7"/>
  <c r="L104" i="7"/>
  <c r="K104" i="7"/>
  <c r="L103" i="7"/>
  <c r="K103" i="7"/>
  <c r="L102" i="7"/>
  <c r="K102" i="7"/>
  <c r="V99" i="7"/>
  <c r="U99" i="7"/>
  <c r="T99" i="7"/>
  <c r="V98" i="7"/>
  <c r="U98" i="7"/>
  <c r="T98" i="7"/>
  <c r="F34" i="104" s="1"/>
  <c r="O96" i="7"/>
  <c r="B96" i="7"/>
  <c r="D93" i="7"/>
  <c r="L84" i="7"/>
  <c r="K84" i="7"/>
  <c r="T81" i="7"/>
  <c r="T80" i="7"/>
  <c r="B78" i="7"/>
  <c r="O78" i="7" s="1"/>
  <c r="D75" i="7"/>
  <c r="L69" i="7"/>
  <c r="K69" i="7"/>
  <c r="W63" i="7"/>
  <c r="W62" i="7"/>
  <c r="B60" i="7"/>
  <c r="O60" i="7" s="1"/>
  <c r="D57" i="7"/>
  <c r="L51" i="7"/>
  <c r="K51" i="7"/>
  <c r="W45" i="7"/>
  <c r="W44" i="7"/>
  <c r="I34" i="12" s="1"/>
  <c r="B42" i="7"/>
  <c r="O42" i="7" s="1"/>
  <c r="I37" i="7"/>
  <c r="H37" i="7"/>
  <c r="C37" i="7"/>
  <c r="D18" i="7"/>
  <c r="D20" i="7" s="1"/>
  <c r="C60" i="16"/>
  <c r="B60" i="16"/>
  <c r="C59" i="16"/>
  <c r="B59" i="16"/>
  <c r="C58" i="16"/>
  <c r="B58" i="16"/>
  <c r="C57" i="16"/>
  <c r="B57" i="16"/>
  <c r="C56" i="16"/>
  <c r="B56" i="16"/>
  <c r="C55" i="16"/>
  <c r="B55" i="16"/>
  <c r="C54" i="16"/>
  <c r="B54" i="16"/>
  <c r="C53" i="16"/>
  <c r="B53" i="16"/>
  <c r="C52" i="16"/>
  <c r="B52" i="16"/>
  <c r="C51" i="16"/>
  <c r="B51" i="16"/>
  <c r="D25" i="16"/>
  <c r="E25" i="16" s="1"/>
  <c r="D13" i="16"/>
  <c r="E13" i="16" s="1"/>
  <c r="D10" i="16"/>
  <c r="E10" i="16" s="1"/>
  <c r="D9" i="16"/>
  <c r="E9" i="16" s="1"/>
  <c r="D8" i="16"/>
  <c r="E8" i="16" s="1"/>
  <c r="D7" i="16"/>
  <c r="E7" i="16" s="1"/>
  <c r="V39" i="17" l="1"/>
  <c r="Q47" i="17"/>
  <c r="Q53" i="17" s="1"/>
  <c r="R47" i="17"/>
  <c r="K26" i="17"/>
  <c r="C30" i="17"/>
  <c r="D30" i="17"/>
  <c r="K27" i="17"/>
  <c r="K25" i="12"/>
  <c r="E30" i="12"/>
  <c r="G30" i="12"/>
  <c r="D30" i="12"/>
  <c r="M103" i="7"/>
  <c r="M120" i="7"/>
  <c r="M122" i="7"/>
  <c r="M51" i="7"/>
  <c r="M121" i="7"/>
  <c r="F34" i="103"/>
  <c r="F41" i="103" s="1"/>
  <c r="T82" i="7"/>
  <c r="M195" i="7"/>
  <c r="M104" i="7"/>
  <c r="M102" i="7"/>
  <c r="M84" i="7"/>
  <c r="M69" i="7"/>
  <c r="I34" i="110"/>
  <c r="I41" i="110" s="1"/>
  <c r="W208" i="7"/>
  <c r="I34" i="106"/>
  <c r="I41" i="106" s="1"/>
  <c r="W136" i="7"/>
  <c r="I34" i="17"/>
  <c r="I41" i="17" s="1"/>
  <c r="W64" i="7"/>
  <c r="D31" i="7"/>
  <c r="B5" i="105" s="1"/>
  <c r="F55" i="16" s="1"/>
  <c r="D35" i="7"/>
  <c r="B5" i="109"/>
  <c r="F59" i="16" s="1"/>
  <c r="A187" i="7"/>
  <c r="E35" i="7"/>
  <c r="G35" i="7" s="1"/>
  <c r="G34" i="104"/>
  <c r="U100" i="7"/>
  <c r="H34" i="104"/>
  <c r="V100" i="7"/>
  <c r="A38" i="12"/>
  <c r="A19" i="12"/>
  <c r="A39" i="12"/>
  <c r="C15" i="12"/>
  <c r="A37" i="12"/>
  <c r="E31" i="7"/>
  <c r="G31" i="7" s="1"/>
  <c r="E11" i="14"/>
  <c r="E47" i="14" s="1"/>
  <c r="I53" i="104"/>
  <c r="M141" i="7"/>
  <c r="D21" i="7"/>
  <c r="D34" i="7"/>
  <c r="D19" i="7"/>
  <c r="D33" i="7"/>
  <c r="D36" i="7"/>
  <c r="D32" i="7"/>
  <c r="F41" i="105"/>
  <c r="I41" i="108"/>
  <c r="T100" i="7"/>
  <c r="G41" i="105"/>
  <c r="W154" i="7"/>
  <c r="H41" i="105"/>
  <c r="Y30" i="17"/>
  <c r="B46" i="17"/>
  <c r="I41" i="12"/>
  <c r="I41" i="109"/>
  <c r="K25" i="103"/>
  <c r="E46" i="103"/>
  <c r="E53" i="103" s="1"/>
  <c r="Y30" i="103"/>
  <c r="T118" i="7"/>
  <c r="W172" i="7"/>
  <c r="B30" i="103"/>
  <c r="K30" i="103" s="1"/>
  <c r="K24" i="103"/>
  <c r="U118" i="7"/>
  <c r="C30" i="103"/>
  <c r="Y30" i="105"/>
  <c r="B46" i="105"/>
  <c r="V118" i="7"/>
  <c r="W46" i="7"/>
  <c r="W190" i="7"/>
  <c r="C8" i="110"/>
  <c r="C8" i="107"/>
  <c r="C8" i="109"/>
  <c r="C8" i="108"/>
  <c r="C8" i="105"/>
  <c r="C8" i="106"/>
  <c r="C8" i="104"/>
  <c r="C14" i="104" s="1"/>
  <c r="C8" i="12"/>
  <c r="C14" i="12" s="1"/>
  <c r="C8" i="17"/>
  <c r="C8" i="103"/>
  <c r="C14" i="103" s="1"/>
  <c r="C10" i="9"/>
  <c r="U48" i="17"/>
  <c r="T47" i="17"/>
  <c r="V49" i="17"/>
  <c r="V53" i="17" s="1"/>
  <c r="F41" i="104"/>
  <c r="I41" i="107"/>
  <c r="Y49" i="12"/>
  <c r="K30" i="17"/>
  <c r="G30" i="104"/>
  <c r="A55" i="9"/>
  <c r="O38" i="8" s="1"/>
  <c r="K27" i="12"/>
  <c r="B53" i="12"/>
  <c r="F30" i="104"/>
  <c r="K30" i="104" s="1"/>
  <c r="I46" i="104"/>
  <c r="Y30" i="104"/>
  <c r="K27" i="105"/>
  <c r="K26" i="12"/>
  <c r="Q53" i="105"/>
  <c r="Y49" i="105"/>
  <c r="R48" i="109"/>
  <c r="Y48" i="109" s="1"/>
  <c r="Q47" i="109"/>
  <c r="V39" i="109"/>
  <c r="S49" i="109"/>
  <c r="Q53" i="103"/>
  <c r="Y47" i="103"/>
  <c r="A38" i="104"/>
  <c r="A39" i="104"/>
  <c r="A19" i="104"/>
  <c r="C15" i="104"/>
  <c r="K27" i="104"/>
  <c r="E30" i="105"/>
  <c r="R48" i="12"/>
  <c r="Q47" i="12"/>
  <c r="V39" i="12"/>
  <c r="K24" i="17"/>
  <c r="K29" i="103"/>
  <c r="K26" i="104"/>
  <c r="F30" i="12"/>
  <c r="K30" i="12" s="1"/>
  <c r="I46" i="12"/>
  <c r="K46" i="12" s="1"/>
  <c r="Y30" i="12"/>
  <c r="S48" i="12"/>
  <c r="R47" i="12"/>
  <c r="R53" i="12" s="1"/>
  <c r="T49" i="12"/>
  <c r="K25" i="104"/>
  <c r="K46" i="104"/>
  <c r="A37" i="104"/>
  <c r="V49" i="105"/>
  <c r="V53" i="105" s="1"/>
  <c r="U48" i="105"/>
  <c r="U53" i="105" s="1"/>
  <c r="T47" i="105"/>
  <c r="T53" i="105" s="1"/>
  <c r="V39" i="105"/>
  <c r="U49" i="17"/>
  <c r="K26" i="103"/>
  <c r="Y48" i="103"/>
  <c r="C30" i="109"/>
  <c r="K30" i="109" s="1"/>
  <c r="E30" i="109"/>
  <c r="U49" i="12"/>
  <c r="U53" i="12" s="1"/>
  <c r="T49" i="104"/>
  <c r="Y49" i="104" s="1"/>
  <c r="D30" i="109"/>
  <c r="V49" i="12"/>
  <c r="V53" i="12" s="1"/>
  <c r="S47" i="17"/>
  <c r="R48" i="17"/>
  <c r="K24" i="12"/>
  <c r="A39" i="17"/>
  <c r="S48" i="17"/>
  <c r="A37" i="103"/>
  <c r="S49" i="103"/>
  <c r="Y49" i="103" s="1"/>
  <c r="K24" i="104"/>
  <c r="T48" i="104"/>
  <c r="Y48" i="104" s="1"/>
  <c r="S47" i="104"/>
  <c r="S53" i="104" s="1"/>
  <c r="K30" i="108"/>
  <c r="Q53" i="108"/>
  <c r="F30" i="109"/>
  <c r="K30" i="110"/>
  <c r="A19" i="17"/>
  <c r="A38" i="17"/>
  <c r="T48" i="17"/>
  <c r="C30" i="106"/>
  <c r="K24" i="106"/>
  <c r="R53" i="108"/>
  <c r="G30" i="109"/>
  <c r="U48" i="104"/>
  <c r="U53" i="104" s="1"/>
  <c r="T47" i="104"/>
  <c r="V49" i="104"/>
  <c r="V53" i="104" s="1"/>
  <c r="K24" i="105"/>
  <c r="D30" i="106"/>
  <c r="H30" i="109"/>
  <c r="S47" i="12"/>
  <c r="R47" i="104"/>
  <c r="R53" i="104" s="1"/>
  <c r="E30" i="106"/>
  <c r="T47" i="12"/>
  <c r="K30" i="105"/>
  <c r="F30" i="106"/>
  <c r="B53" i="109"/>
  <c r="V39" i="103"/>
  <c r="G30" i="106"/>
  <c r="U48" i="107"/>
  <c r="U53" i="107" s="1"/>
  <c r="T47" i="107"/>
  <c r="T53" i="107" s="1"/>
  <c r="Y53" i="107" s="1"/>
  <c r="R48" i="106"/>
  <c r="Y48" i="106" s="1"/>
  <c r="Q47" i="106"/>
  <c r="V39" i="106"/>
  <c r="K46" i="106"/>
  <c r="B53" i="106"/>
  <c r="U53" i="106"/>
  <c r="U48" i="108"/>
  <c r="U53" i="108" s="1"/>
  <c r="A38" i="109"/>
  <c r="R47" i="109"/>
  <c r="R53" i="109" s="1"/>
  <c r="S47" i="105"/>
  <c r="S53" i="105" s="1"/>
  <c r="R48" i="105"/>
  <c r="Y48" i="105" s="1"/>
  <c r="A38" i="106"/>
  <c r="R47" i="106"/>
  <c r="R53" i="106" s="1"/>
  <c r="K24" i="108"/>
  <c r="S49" i="106"/>
  <c r="K46" i="107"/>
  <c r="T47" i="108"/>
  <c r="T53" i="108" s="1"/>
  <c r="T49" i="109"/>
  <c r="T53" i="109" s="1"/>
  <c r="U49" i="110"/>
  <c r="Y49" i="110" s="1"/>
  <c r="V39" i="104"/>
  <c r="Q47" i="104"/>
  <c r="A19" i="105"/>
  <c r="A38" i="105"/>
  <c r="T48" i="105"/>
  <c r="S47" i="106"/>
  <c r="S53" i="106" s="1"/>
  <c r="T49" i="106"/>
  <c r="T53" i="106" s="1"/>
  <c r="Y30" i="107"/>
  <c r="F46" i="109"/>
  <c r="K46" i="109" s="1"/>
  <c r="U49" i="109"/>
  <c r="U53" i="109" s="1"/>
  <c r="U48" i="110"/>
  <c r="Y48" i="110" s="1"/>
  <c r="T47" i="110"/>
  <c r="T53" i="110" s="1"/>
  <c r="V49" i="110"/>
  <c r="V53" i="110" s="1"/>
  <c r="F46" i="106"/>
  <c r="C15" i="109"/>
  <c r="B46" i="110"/>
  <c r="Y30" i="110"/>
  <c r="V39" i="110"/>
  <c r="K29" i="109"/>
  <c r="K29" i="106"/>
  <c r="A39" i="108"/>
  <c r="K28" i="109"/>
  <c r="S47" i="110"/>
  <c r="S53" i="110" s="1"/>
  <c r="K28" i="106"/>
  <c r="K27" i="109"/>
  <c r="A37" i="109"/>
  <c r="K27" i="106"/>
  <c r="A37" i="106"/>
  <c r="T49" i="107"/>
  <c r="Y49" i="107" s="1"/>
  <c r="K26" i="109"/>
  <c r="A39" i="109"/>
  <c r="K26" i="106"/>
  <c r="T48" i="107"/>
  <c r="U49" i="107"/>
  <c r="Y30" i="108"/>
  <c r="R48" i="108"/>
  <c r="Y48" i="108" s="1"/>
  <c r="K25" i="109"/>
  <c r="S48" i="109"/>
  <c r="S53" i="109" s="1"/>
  <c r="A39" i="107"/>
  <c r="K24" i="109"/>
  <c r="A39" i="110"/>
  <c r="A19" i="107"/>
  <c r="A19" i="110"/>
  <c r="T53" i="12" l="1"/>
  <c r="S53" i="12"/>
  <c r="A115" i="7"/>
  <c r="B5" i="12"/>
  <c r="A43" i="7"/>
  <c r="E27" i="7"/>
  <c r="G27" i="7" s="1"/>
  <c r="D37" i="7"/>
  <c r="F51" i="16"/>
  <c r="F53" i="103"/>
  <c r="F11" i="14"/>
  <c r="F47" i="14" s="1"/>
  <c r="Y48" i="107"/>
  <c r="K30" i="106"/>
  <c r="R53" i="105"/>
  <c r="C9" i="109"/>
  <c r="C20" i="109"/>
  <c r="C21" i="109" s="1"/>
  <c r="C13" i="109"/>
  <c r="B13" i="109" s="1"/>
  <c r="K46" i="103"/>
  <c r="B5" i="110"/>
  <c r="F60" i="16" s="1"/>
  <c r="A205" i="7"/>
  <c r="E36" i="7"/>
  <c r="G36" i="7" s="1"/>
  <c r="C128" i="7"/>
  <c r="I128" i="7" s="1"/>
  <c r="C119" i="7"/>
  <c r="I119" i="7" s="1"/>
  <c r="C127" i="7"/>
  <c r="I127" i="7" s="1"/>
  <c r="C121" i="7"/>
  <c r="I121" i="7" s="1"/>
  <c r="C118" i="7"/>
  <c r="I118" i="7" s="1"/>
  <c r="C126" i="7"/>
  <c r="I126" i="7" s="1"/>
  <c r="C123" i="7"/>
  <c r="C117" i="7"/>
  <c r="C125" i="7"/>
  <c r="C116" i="7"/>
  <c r="C120" i="7"/>
  <c r="C122" i="7"/>
  <c r="I122" i="7" s="1"/>
  <c r="C124" i="7"/>
  <c r="I124" i="7" s="1"/>
  <c r="B8" i="105"/>
  <c r="B19" i="105"/>
  <c r="D19" i="105" s="1"/>
  <c r="B15" i="105"/>
  <c r="J39" i="105" s="1"/>
  <c r="K46" i="17"/>
  <c r="B53" i="17"/>
  <c r="Y47" i="105"/>
  <c r="T53" i="17"/>
  <c r="C9" i="110"/>
  <c r="C10" i="110" s="1"/>
  <c r="C20" i="110"/>
  <c r="C21" i="110" s="1"/>
  <c r="C14" i="110"/>
  <c r="C13" i="110"/>
  <c r="B5" i="107"/>
  <c r="F57" i="16" s="1"/>
  <c r="A151" i="7"/>
  <c r="E33" i="7"/>
  <c r="G33" i="7" s="1"/>
  <c r="Y47" i="107"/>
  <c r="Y47" i="110"/>
  <c r="Y53" i="105"/>
  <c r="U53" i="17"/>
  <c r="H41" i="104"/>
  <c r="C15" i="9"/>
  <c r="C11" i="9"/>
  <c r="C23" i="9"/>
  <c r="C24" i="9" s="1"/>
  <c r="C16" i="9"/>
  <c r="C12" i="9"/>
  <c r="K46" i="105"/>
  <c r="B53" i="105"/>
  <c r="B5" i="104"/>
  <c r="A97" i="7"/>
  <c r="E30" i="7"/>
  <c r="G30" i="7" s="1"/>
  <c r="B5" i="103"/>
  <c r="F53" i="16" s="1"/>
  <c r="A79" i="7"/>
  <c r="E29" i="7"/>
  <c r="G29" i="7" s="1"/>
  <c r="C53" i="109"/>
  <c r="C23" i="14"/>
  <c r="C53" i="14" s="1"/>
  <c r="C13" i="103"/>
  <c r="C16" i="103" s="1"/>
  <c r="C20" i="103"/>
  <c r="C21" i="103" s="1"/>
  <c r="C9" i="103"/>
  <c r="C10" i="103" s="1"/>
  <c r="Y47" i="17"/>
  <c r="B5" i="108"/>
  <c r="F58" i="16" s="1"/>
  <c r="E34" i="7"/>
  <c r="G34" i="7" s="1"/>
  <c r="A169" i="7"/>
  <c r="K46" i="110"/>
  <c r="B53" i="110"/>
  <c r="Y49" i="106"/>
  <c r="Y48" i="17"/>
  <c r="R53" i="17"/>
  <c r="Y47" i="12"/>
  <c r="Q53" i="12"/>
  <c r="Y53" i="12" s="1"/>
  <c r="Y49" i="109"/>
  <c r="C13" i="17"/>
  <c r="C20" i="17"/>
  <c r="C21" i="17" s="1"/>
  <c r="C9" i="17"/>
  <c r="C10" i="17" s="1"/>
  <c r="C14" i="17"/>
  <c r="D17" i="7"/>
  <c r="U53" i="110"/>
  <c r="Y53" i="110" s="1"/>
  <c r="C14" i="109"/>
  <c r="B14" i="109" s="1"/>
  <c r="B21" i="109" s="1"/>
  <c r="T53" i="104"/>
  <c r="Y47" i="108"/>
  <c r="S53" i="17"/>
  <c r="S53" i="103"/>
  <c r="Y53" i="103" s="1"/>
  <c r="Y48" i="12"/>
  <c r="C9" i="12"/>
  <c r="C13" i="12"/>
  <c r="C16" i="12" s="1"/>
  <c r="C10" i="12"/>
  <c r="C20" i="12"/>
  <c r="C21" i="12" s="1"/>
  <c r="G41" i="104"/>
  <c r="C53" i="106"/>
  <c r="C17" i="14"/>
  <c r="C50" i="14" s="1"/>
  <c r="Y53" i="108"/>
  <c r="Y49" i="17"/>
  <c r="Y47" i="109"/>
  <c r="Q53" i="109"/>
  <c r="Y53" i="109" s="1"/>
  <c r="C9" i="104"/>
  <c r="C10" i="104" s="1"/>
  <c r="C13" i="104"/>
  <c r="C16" i="104" s="1"/>
  <c r="C20" i="104"/>
  <c r="C21" i="104" s="1"/>
  <c r="C14" i="106"/>
  <c r="C13" i="106"/>
  <c r="C20" i="106"/>
  <c r="C21" i="106" s="1"/>
  <c r="C9" i="106"/>
  <c r="C10" i="106" s="1"/>
  <c r="C200" i="7"/>
  <c r="I200" i="7" s="1"/>
  <c r="C191" i="7"/>
  <c r="I191" i="7" s="1"/>
  <c r="C199" i="7"/>
  <c r="I199" i="7" s="1"/>
  <c r="C193" i="7"/>
  <c r="I193" i="7" s="1"/>
  <c r="C190" i="7"/>
  <c r="I190" i="7" s="1"/>
  <c r="C198" i="7"/>
  <c r="I198" i="7" s="1"/>
  <c r="C195" i="7"/>
  <c r="C189" i="7"/>
  <c r="C197" i="7"/>
  <c r="C188" i="7"/>
  <c r="C192" i="7"/>
  <c r="C194" i="7"/>
  <c r="C196" i="7"/>
  <c r="Y47" i="104"/>
  <c r="Q53" i="104"/>
  <c r="Y53" i="104" s="1"/>
  <c r="C53" i="12"/>
  <c r="C7" i="14"/>
  <c r="C13" i="105"/>
  <c r="B13" i="105" s="1"/>
  <c r="C20" i="105"/>
  <c r="C21" i="105" s="1"/>
  <c r="C9" i="105"/>
  <c r="C10" i="105" s="1"/>
  <c r="C14" i="105"/>
  <c r="B14" i="105" s="1"/>
  <c r="B21" i="105" s="1"/>
  <c r="B5" i="17"/>
  <c r="A61" i="7"/>
  <c r="E28" i="7"/>
  <c r="G28" i="7" s="1"/>
  <c r="J53" i="104"/>
  <c r="K13" i="14" s="1"/>
  <c r="K48" i="14" s="1"/>
  <c r="J13" i="14"/>
  <c r="J48" i="14" s="1"/>
  <c r="B8" i="109"/>
  <c r="B15" i="109"/>
  <c r="J39" i="109" s="1"/>
  <c r="B19" i="109"/>
  <c r="D19" i="109" s="1"/>
  <c r="C9" i="107"/>
  <c r="C10" i="107" s="1"/>
  <c r="C20" i="107"/>
  <c r="C21" i="107" s="1"/>
  <c r="C14" i="107"/>
  <c r="C13" i="107"/>
  <c r="Y47" i="106"/>
  <c r="Q53" i="106"/>
  <c r="Y53" i="106" s="1"/>
  <c r="C13" i="108"/>
  <c r="C20" i="108"/>
  <c r="C21" i="108" s="1"/>
  <c r="C14" i="108"/>
  <c r="C9" i="108"/>
  <c r="C10" i="108" s="1"/>
  <c r="B5" i="106"/>
  <c r="F56" i="16" s="1"/>
  <c r="A133" i="7"/>
  <c r="E32" i="7"/>
  <c r="G32" i="7" s="1"/>
  <c r="Y53" i="17" l="1"/>
  <c r="B130" i="7"/>
  <c r="C10" i="109"/>
  <c r="B9" i="109"/>
  <c r="B10" i="109" s="1"/>
  <c r="B9" i="12"/>
  <c r="B8" i="12"/>
  <c r="B14" i="12"/>
  <c r="B21" i="12" s="1"/>
  <c r="B19" i="12"/>
  <c r="B15" i="12"/>
  <c r="J39" i="12" s="1"/>
  <c r="K39" i="12" s="1"/>
  <c r="D19" i="12"/>
  <c r="C56" i="7"/>
  <c r="I56" i="7" s="1"/>
  <c r="C47" i="7"/>
  <c r="I47" i="7" s="1"/>
  <c r="C55" i="7"/>
  <c r="C49" i="7"/>
  <c r="I49" i="7" s="1"/>
  <c r="C46" i="7"/>
  <c r="C54" i="7"/>
  <c r="C51" i="7"/>
  <c r="C45" i="7"/>
  <c r="I45" i="7" s="1"/>
  <c r="C53" i="7"/>
  <c r="I53" i="7" s="1"/>
  <c r="C44" i="7"/>
  <c r="C48" i="7"/>
  <c r="C50" i="7"/>
  <c r="I50" i="7" s="1"/>
  <c r="C52" i="7"/>
  <c r="I52" i="7" s="1"/>
  <c r="I195" i="7"/>
  <c r="K192" i="7"/>
  <c r="T188" i="7"/>
  <c r="I189" i="7"/>
  <c r="K189" i="7"/>
  <c r="Q188" i="7"/>
  <c r="I197" i="7"/>
  <c r="K194" i="7"/>
  <c r="V188" i="7"/>
  <c r="B202" i="7"/>
  <c r="P188" i="7"/>
  <c r="K188" i="7"/>
  <c r="I192" i="7"/>
  <c r="K190" i="7"/>
  <c r="R188" i="7"/>
  <c r="I194" i="7"/>
  <c r="K191" i="7"/>
  <c r="S188" i="7"/>
  <c r="I196" i="7"/>
  <c r="K193" i="7"/>
  <c r="U188" i="7"/>
  <c r="D23" i="16"/>
  <c r="E23" i="16" s="1"/>
  <c r="B16" i="109"/>
  <c r="B16" i="105"/>
  <c r="C16" i="107"/>
  <c r="C16" i="110"/>
  <c r="E37" i="7"/>
  <c r="G37" i="7" s="1"/>
  <c r="D15" i="16"/>
  <c r="E15" i="16" s="1"/>
  <c r="J40" i="105"/>
  <c r="J45" i="105" s="1"/>
  <c r="J47" i="105" s="1"/>
  <c r="K39" i="105"/>
  <c r="F52" i="16"/>
  <c r="I123" i="7"/>
  <c r="K119" i="7"/>
  <c r="S116" i="7"/>
  <c r="C16" i="109"/>
  <c r="C104" i="7"/>
  <c r="I104" i="7" s="1"/>
  <c r="C106" i="7"/>
  <c r="I106" i="7" s="1"/>
  <c r="C110" i="7"/>
  <c r="I110" i="7" s="1"/>
  <c r="C101" i="7"/>
  <c r="I101" i="7" s="1"/>
  <c r="C109" i="7"/>
  <c r="I109" i="7" s="1"/>
  <c r="C103" i="7"/>
  <c r="I103" i="7" s="1"/>
  <c r="C100" i="7"/>
  <c r="I100" i="7" s="1"/>
  <c r="C108" i="7"/>
  <c r="I108" i="7" s="1"/>
  <c r="C105" i="7"/>
  <c r="C99" i="7"/>
  <c r="C107" i="7"/>
  <c r="C98" i="7"/>
  <c r="C102" i="7"/>
  <c r="I188" i="7"/>
  <c r="C201" i="7"/>
  <c r="D20" i="105"/>
  <c r="D21" i="105" s="1"/>
  <c r="C16" i="108"/>
  <c r="C53" i="110"/>
  <c r="C25" i="14"/>
  <c r="C54" i="14" s="1"/>
  <c r="C53" i="105"/>
  <c r="C15" i="14"/>
  <c r="C49" i="14" s="1"/>
  <c r="B9" i="105"/>
  <c r="B10" i="105" s="1"/>
  <c r="Q116" i="7"/>
  <c r="K117" i="7"/>
  <c r="I117" i="7"/>
  <c r="I48" i="7"/>
  <c r="D53" i="109"/>
  <c r="D23" i="14"/>
  <c r="D53" i="14" s="1"/>
  <c r="K39" i="109"/>
  <c r="J40" i="109"/>
  <c r="J45" i="109" s="1"/>
  <c r="J47" i="109" s="1"/>
  <c r="D53" i="106"/>
  <c r="D17" i="14"/>
  <c r="D50" i="14" s="1"/>
  <c r="P44" i="7"/>
  <c r="K44" i="7"/>
  <c r="I44" i="7"/>
  <c r="B58" i="7"/>
  <c r="C176" i="7"/>
  <c r="C178" i="7"/>
  <c r="C182" i="7"/>
  <c r="I182" i="7" s="1"/>
  <c r="C173" i="7"/>
  <c r="I173" i="7" s="1"/>
  <c r="C181" i="7"/>
  <c r="I181" i="7" s="1"/>
  <c r="C175" i="7"/>
  <c r="I175" i="7" s="1"/>
  <c r="C172" i="7"/>
  <c r="I172" i="7" s="1"/>
  <c r="C180" i="7"/>
  <c r="I180" i="7" s="1"/>
  <c r="C177" i="7"/>
  <c r="C171" i="7"/>
  <c r="C179" i="7"/>
  <c r="C170" i="7"/>
  <c r="C174" i="7"/>
  <c r="C144" i="7"/>
  <c r="I144" i="7" s="1"/>
  <c r="C141" i="7"/>
  <c r="C135" i="7"/>
  <c r="C143" i="7"/>
  <c r="C134" i="7"/>
  <c r="C138" i="7"/>
  <c r="C140" i="7"/>
  <c r="C142" i="7"/>
  <c r="C146" i="7"/>
  <c r="I146" i="7" s="1"/>
  <c r="C137" i="7"/>
  <c r="I137" i="7" s="1"/>
  <c r="C145" i="7"/>
  <c r="I145" i="7" s="1"/>
  <c r="C139" i="7"/>
  <c r="I139" i="7" s="1"/>
  <c r="C136" i="7"/>
  <c r="I136" i="7" s="1"/>
  <c r="D20" i="109"/>
  <c r="D21" i="109" s="1"/>
  <c r="C16" i="105"/>
  <c r="K48" i="7"/>
  <c r="T44" i="7"/>
  <c r="C89" i="7"/>
  <c r="C80" i="7"/>
  <c r="C84" i="7"/>
  <c r="C86" i="7"/>
  <c r="I86" i="7" s="1"/>
  <c r="C88" i="7"/>
  <c r="I88" i="7" s="1"/>
  <c r="C92" i="7"/>
  <c r="C83" i="7"/>
  <c r="I83" i="7" s="1"/>
  <c r="C91" i="7"/>
  <c r="C85" i="7"/>
  <c r="I85" i="7" s="1"/>
  <c r="C82" i="7"/>
  <c r="I82" i="7" s="1"/>
  <c r="C81" i="7"/>
  <c r="C90" i="7"/>
  <c r="I90" i="7" s="1"/>
  <c r="C87" i="7"/>
  <c r="B8" i="106"/>
  <c r="B15" i="106"/>
  <c r="J39" i="106" s="1"/>
  <c r="B14" i="106"/>
  <c r="B21" i="106" s="1"/>
  <c r="B13" i="106"/>
  <c r="B19" i="106"/>
  <c r="D19" i="106" s="1"/>
  <c r="B9" i="106"/>
  <c r="C45" i="14"/>
  <c r="C16" i="106"/>
  <c r="B14" i="108"/>
  <c r="B21" i="108" s="1"/>
  <c r="B13" i="108"/>
  <c r="B15" i="108"/>
  <c r="J39" i="108" s="1"/>
  <c r="B9" i="108"/>
  <c r="B8" i="108"/>
  <c r="B19" i="108"/>
  <c r="D19" i="108" s="1"/>
  <c r="B15" i="103"/>
  <c r="J39" i="103" s="1"/>
  <c r="B14" i="103"/>
  <c r="B21" i="103" s="1"/>
  <c r="B13" i="103"/>
  <c r="B19" i="103"/>
  <c r="D19" i="103" s="1"/>
  <c r="B9" i="103"/>
  <c r="B8" i="103"/>
  <c r="B19" i="104"/>
  <c r="D19" i="104" s="1"/>
  <c r="B9" i="104"/>
  <c r="B8" i="104"/>
  <c r="B15" i="104"/>
  <c r="J39" i="104" s="1"/>
  <c r="B14" i="104"/>
  <c r="B21" i="104" s="1"/>
  <c r="B13" i="104"/>
  <c r="D53" i="12"/>
  <c r="D7" i="14"/>
  <c r="C16" i="17"/>
  <c r="C18" i="9"/>
  <c r="C53" i="17"/>
  <c r="C9" i="14"/>
  <c r="C46" i="14" s="1"/>
  <c r="K118" i="7"/>
  <c r="I120" i="7"/>
  <c r="R116" i="7"/>
  <c r="B13" i="17"/>
  <c r="B19" i="17"/>
  <c r="D19" i="17" s="1"/>
  <c r="B9" i="17"/>
  <c r="B8" i="17"/>
  <c r="B15" i="17"/>
  <c r="J39" i="17" s="1"/>
  <c r="B14" i="17"/>
  <c r="B21" i="17" s="1"/>
  <c r="B19" i="107"/>
  <c r="D19" i="107" s="1"/>
  <c r="B9" i="107"/>
  <c r="B8" i="107"/>
  <c r="B15" i="107"/>
  <c r="J39" i="107" s="1"/>
  <c r="B14" i="107"/>
  <c r="B21" i="107" s="1"/>
  <c r="B13" i="107"/>
  <c r="C72" i="7"/>
  <c r="C69" i="7"/>
  <c r="C63" i="7"/>
  <c r="C71" i="7"/>
  <c r="C62" i="7"/>
  <c r="C66" i="7"/>
  <c r="C68" i="7"/>
  <c r="I68" i="7" s="1"/>
  <c r="C70" i="7"/>
  <c r="I70" i="7" s="1"/>
  <c r="C74" i="7"/>
  <c r="C65" i="7"/>
  <c r="I65" i="7" s="1"/>
  <c r="C67" i="7"/>
  <c r="I67" i="7" s="1"/>
  <c r="C64" i="7"/>
  <c r="I64" i="7" s="1"/>
  <c r="C73" i="7"/>
  <c r="I73" i="7" s="1"/>
  <c r="B13" i="12"/>
  <c r="C161" i="7"/>
  <c r="C152" i="7"/>
  <c r="C156" i="7"/>
  <c r="C158" i="7"/>
  <c r="C160" i="7"/>
  <c r="C164" i="7"/>
  <c r="I164" i="7" s="1"/>
  <c r="C155" i="7"/>
  <c r="I155" i="7" s="1"/>
  <c r="C163" i="7"/>
  <c r="I163" i="7" s="1"/>
  <c r="C157" i="7"/>
  <c r="I157" i="7" s="1"/>
  <c r="C154" i="7"/>
  <c r="I154" i="7" s="1"/>
  <c r="C162" i="7"/>
  <c r="I162" i="7" s="1"/>
  <c r="C159" i="7"/>
  <c r="C153" i="7"/>
  <c r="P116" i="7"/>
  <c r="K116" i="7"/>
  <c r="I116" i="7"/>
  <c r="C129" i="7"/>
  <c r="C216" i="7"/>
  <c r="I216" i="7" s="1"/>
  <c r="C213" i="7"/>
  <c r="C207" i="7"/>
  <c r="C215" i="7"/>
  <c r="C206" i="7"/>
  <c r="C210" i="7"/>
  <c r="C212" i="7"/>
  <c r="C214" i="7"/>
  <c r="C218" i="7"/>
  <c r="I218" i="7" s="1"/>
  <c r="C209" i="7"/>
  <c r="I209" i="7" s="1"/>
  <c r="C217" i="7"/>
  <c r="I217" i="7" s="1"/>
  <c r="C208" i="7"/>
  <c r="I208" i="7" s="1"/>
  <c r="C211" i="7"/>
  <c r="I211" i="7" s="1"/>
  <c r="G53" i="103"/>
  <c r="G11" i="14"/>
  <c r="G47" i="14" s="1"/>
  <c r="K123" i="7"/>
  <c r="I125" i="7"/>
  <c r="W116" i="7"/>
  <c r="B19" i="110"/>
  <c r="D19" i="110" s="1"/>
  <c r="B9" i="110"/>
  <c r="B13" i="110"/>
  <c r="B8" i="110"/>
  <c r="B15" i="110"/>
  <c r="J39" i="110" s="1"/>
  <c r="B14" i="110"/>
  <c r="B21" i="110" s="1"/>
  <c r="F54" i="16"/>
  <c r="K46" i="7" l="1"/>
  <c r="R44" i="7"/>
  <c r="J40" i="12"/>
  <c r="J45" i="12" s="1"/>
  <c r="J47" i="12" s="1"/>
  <c r="C57" i="7"/>
  <c r="D20" i="12"/>
  <c r="D21" i="12" s="1"/>
  <c r="B10" i="12"/>
  <c r="T189" i="7"/>
  <c r="L192" i="7"/>
  <c r="M192" i="7" s="1"/>
  <c r="T190" i="7"/>
  <c r="F34" i="109"/>
  <c r="L189" i="7"/>
  <c r="M189" i="7" s="1"/>
  <c r="Q189" i="7"/>
  <c r="Q190" i="7" s="1"/>
  <c r="C34" i="109"/>
  <c r="V189" i="7"/>
  <c r="V190" i="7" s="1"/>
  <c r="L194" i="7"/>
  <c r="M194" i="7" s="1"/>
  <c r="H34" i="109"/>
  <c r="X188" i="7"/>
  <c r="B34" i="109"/>
  <c r="K196" i="7"/>
  <c r="D59" i="16" s="1"/>
  <c r="R189" i="7"/>
  <c r="R190" i="7" s="1"/>
  <c r="L190" i="7"/>
  <c r="M190" i="7" s="1"/>
  <c r="D34" i="109"/>
  <c r="S189" i="7"/>
  <c r="L191" i="7"/>
  <c r="M191" i="7" s="1"/>
  <c r="S190" i="7"/>
  <c r="E34" i="109"/>
  <c r="L193" i="7"/>
  <c r="M193" i="7" s="1"/>
  <c r="U189" i="7"/>
  <c r="U190" i="7" s="1"/>
  <c r="G34" i="109"/>
  <c r="F10" i="7"/>
  <c r="B16" i="12"/>
  <c r="B220" i="7"/>
  <c r="B184" i="7"/>
  <c r="I55" i="7"/>
  <c r="K50" i="7"/>
  <c r="V44" i="7"/>
  <c r="H34" i="12" s="1"/>
  <c r="Q44" i="7"/>
  <c r="C34" i="12" s="1"/>
  <c r="I46" i="7"/>
  <c r="K45" i="7"/>
  <c r="U44" i="7"/>
  <c r="K49" i="7"/>
  <c r="I54" i="7"/>
  <c r="U45" i="7" s="1"/>
  <c r="U46" i="7" s="1"/>
  <c r="K47" i="7"/>
  <c r="S44" i="7"/>
  <c r="I51" i="7"/>
  <c r="S45" i="7" s="1"/>
  <c r="I201" i="7"/>
  <c r="P189" i="7"/>
  <c r="L188" i="7"/>
  <c r="I176" i="7"/>
  <c r="K173" i="7"/>
  <c r="S170" i="7"/>
  <c r="I178" i="7"/>
  <c r="K175" i="7"/>
  <c r="U170" i="7"/>
  <c r="I177" i="7"/>
  <c r="T170" i="7"/>
  <c r="K174" i="7"/>
  <c r="I171" i="7"/>
  <c r="Q170" i="7"/>
  <c r="K171" i="7"/>
  <c r="I179" i="7"/>
  <c r="V170" i="7"/>
  <c r="K176" i="7"/>
  <c r="K170" i="7"/>
  <c r="P170" i="7"/>
  <c r="I174" i="7"/>
  <c r="K172" i="7"/>
  <c r="R170" i="7"/>
  <c r="I141" i="7"/>
  <c r="K138" i="7"/>
  <c r="T134" i="7"/>
  <c r="I135" i="7"/>
  <c r="K135" i="7"/>
  <c r="Q134" i="7"/>
  <c r="V134" i="7"/>
  <c r="K140" i="7"/>
  <c r="K134" i="7"/>
  <c r="P134" i="7"/>
  <c r="I138" i="7"/>
  <c r="K136" i="7"/>
  <c r="R134" i="7"/>
  <c r="I140" i="7"/>
  <c r="S134" i="7"/>
  <c r="K137" i="7"/>
  <c r="I142" i="7"/>
  <c r="K139" i="7"/>
  <c r="U134" i="7"/>
  <c r="K158" i="7"/>
  <c r="V152" i="7"/>
  <c r="P152" i="7"/>
  <c r="K152" i="7"/>
  <c r="I156" i="7"/>
  <c r="R152" i="7"/>
  <c r="K154" i="7"/>
  <c r="I158" i="7"/>
  <c r="S152" i="7"/>
  <c r="K155" i="7"/>
  <c r="I160" i="7"/>
  <c r="K157" i="7"/>
  <c r="U152" i="7"/>
  <c r="I159" i="7"/>
  <c r="K156" i="7"/>
  <c r="T152" i="7"/>
  <c r="I153" i="7"/>
  <c r="Q152" i="7"/>
  <c r="K153" i="7"/>
  <c r="I213" i="7"/>
  <c r="T206" i="7"/>
  <c r="K210" i="7"/>
  <c r="I207" i="7"/>
  <c r="Q206" i="7"/>
  <c r="K207" i="7"/>
  <c r="I215" i="7"/>
  <c r="V206" i="7"/>
  <c r="K212" i="7"/>
  <c r="P206" i="7"/>
  <c r="K206" i="7"/>
  <c r="I210" i="7"/>
  <c r="R206" i="7"/>
  <c r="K208" i="7"/>
  <c r="I212" i="7"/>
  <c r="K209" i="7"/>
  <c r="S206" i="7"/>
  <c r="I214" i="7"/>
  <c r="U206" i="7"/>
  <c r="K211" i="7"/>
  <c r="I161" i="7"/>
  <c r="B166" i="7"/>
  <c r="I143" i="7"/>
  <c r="B148" i="7"/>
  <c r="D11" i="16"/>
  <c r="E11" i="16" s="1"/>
  <c r="B16" i="17"/>
  <c r="F37" i="7"/>
  <c r="K86" i="7"/>
  <c r="V80" i="7"/>
  <c r="I91" i="7"/>
  <c r="B34" i="12"/>
  <c r="L117" i="7"/>
  <c r="M117" i="7" s="1"/>
  <c r="Q117" i="7"/>
  <c r="Q118" i="7" s="1"/>
  <c r="D53" i="17"/>
  <c r="D9" i="14"/>
  <c r="D46" i="14" s="1"/>
  <c r="D20" i="104"/>
  <c r="D21" i="104" s="1"/>
  <c r="B10" i="104"/>
  <c r="B10" i="7"/>
  <c r="C34" i="105"/>
  <c r="I69" i="7"/>
  <c r="K65" i="7"/>
  <c r="S62" i="7"/>
  <c r="H53" i="103"/>
  <c r="H11" i="14"/>
  <c r="H47" i="14" s="1"/>
  <c r="I72" i="7"/>
  <c r="U62" i="7"/>
  <c r="K67" i="7"/>
  <c r="K39" i="110"/>
  <c r="J40" i="110"/>
  <c r="J45" i="110" s="1"/>
  <c r="J47" i="110" s="1"/>
  <c r="E34" i="12"/>
  <c r="D20" i="108"/>
  <c r="D21" i="108" s="1"/>
  <c r="B10" i="108"/>
  <c r="W80" i="7"/>
  <c r="I92" i="7"/>
  <c r="I10" i="7"/>
  <c r="K87" i="7"/>
  <c r="J40" i="17"/>
  <c r="J45" i="17" s="1"/>
  <c r="J47" i="17" s="1"/>
  <c r="K39" i="17"/>
  <c r="G34" i="12"/>
  <c r="E10" i="7"/>
  <c r="B16" i="106"/>
  <c r="E53" i="106"/>
  <c r="E17" i="14"/>
  <c r="E50" i="14" s="1"/>
  <c r="J40" i="108"/>
  <c r="J45" i="108" s="1"/>
  <c r="J47" i="108" s="1"/>
  <c r="K39" i="108"/>
  <c r="D20" i="103"/>
  <c r="D21" i="103" s="1"/>
  <c r="B10" i="103"/>
  <c r="J40" i="106"/>
  <c r="J45" i="106" s="1"/>
  <c r="J47" i="106" s="1"/>
  <c r="K39" i="106"/>
  <c r="I84" i="7"/>
  <c r="R80" i="7"/>
  <c r="K82" i="7"/>
  <c r="D53" i="105"/>
  <c r="D15" i="14"/>
  <c r="D49" i="14" s="1"/>
  <c r="R98" i="7"/>
  <c r="K100" i="7"/>
  <c r="I102" i="7"/>
  <c r="I63" i="7"/>
  <c r="Q62" i="7"/>
  <c r="K63" i="7"/>
  <c r="J40" i="103"/>
  <c r="J45" i="103" s="1"/>
  <c r="J47" i="103" s="1"/>
  <c r="K39" i="103"/>
  <c r="L48" i="7"/>
  <c r="M48" i="7" s="1"/>
  <c r="T45" i="7"/>
  <c r="T46" i="7" s="1"/>
  <c r="K39" i="104"/>
  <c r="J40" i="104"/>
  <c r="J45" i="104" s="1"/>
  <c r="J47" i="104" s="1"/>
  <c r="G10" i="7"/>
  <c r="K124" i="7"/>
  <c r="D55" i="16" s="1"/>
  <c r="K68" i="7"/>
  <c r="V62" i="7"/>
  <c r="I74" i="7"/>
  <c r="B34" i="105"/>
  <c r="X116" i="7"/>
  <c r="C165" i="7"/>
  <c r="I152" i="7"/>
  <c r="B16" i="107"/>
  <c r="D45" i="14"/>
  <c r="B16" i="108"/>
  <c r="D20" i="106"/>
  <c r="D21" i="106" s="1"/>
  <c r="B10" i="106"/>
  <c r="B94" i="7"/>
  <c r="C93" i="7"/>
  <c r="P80" i="7"/>
  <c r="K80" i="7"/>
  <c r="I80" i="7"/>
  <c r="C111" i="7"/>
  <c r="P98" i="7"/>
  <c r="K98" i="7"/>
  <c r="I98" i="7"/>
  <c r="B112" i="7"/>
  <c r="B10" i="110"/>
  <c r="D20" i="110"/>
  <c r="D21" i="110" s="1"/>
  <c r="L116" i="7"/>
  <c r="M116" i="7" s="1"/>
  <c r="I129" i="7"/>
  <c r="P117" i="7"/>
  <c r="D20" i="17"/>
  <c r="D21" i="17" s="1"/>
  <c r="B10" i="17"/>
  <c r="B16" i="110"/>
  <c r="H10" i="7"/>
  <c r="E53" i="12"/>
  <c r="E7" i="14"/>
  <c r="K83" i="7"/>
  <c r="S80" i="7"/>
  <c r="I87" i="7"/>
  <c r="U80" i="7"/>
  <c r="K85" i="7"/>
  <c r="I89" i="7"/>
  <c r="C183" i="7"/>
  <c r="I170" i="7"/>
  <c r="E53" i="109"/>
  <c r="E23" i="14"/>
  <c r="E53" i="14" s="1"/>
  <c r="D53" i="110"/>
  <c r="D25" i="14"/>
  <c r="D54" i="14" s="1"/>
  <c r="K105" i="7"/>
  <c r="I107" i="7"/>
  <c r="W98" i="7"/>
  <c r="E34" i="105"/>
  <c r="F34" i="12"/>
  <c r="D34" i="12"/>
  <c r="Q98" i="7"/>
  <c r="K99" i="7"/>
  <c r="I99" i="7"/>
  <c r="I134" i="7"/>
  <c r="C147" i="7"/>
  <c r="C10" i="7"/>
  <c r="I66" i="7"/>
  <c r="R62" i="7"/>
  <c r="K64" i="7"/>
  <c r="K39" i="107"/>
  <c r="J40" i="107"/>
  <c r="J45" i="107" s="1"/>
  <c r="J47" i="107" s="1"/>
  <c r="I34" i="105"/>
  <c r="L123" i="7"/>
  <c r="M123" i="7" s="1"/>
  <c r="W117" i="7"/>
  <c r="W118" i="7" s="1"/>
  <c r="K62" i="7"/>
  <c r="I62" i="7"/>
  <c r="C75" i="7"/>
  <c r="P62" i="7"/>
  <c r="B76" i="7"/>
  <c r="D34" i="105"/>
  <c r="B16" i="103"/>
  <c r="C27" i="14"/>
  <c r="Q80" i="7"/>
  <c r="K81" i="7"/>
  <c r="I81" i="7"/>
  <c r="D10" i="7"/>
  <c r="K101" i="7"/>
  <c r="S98" i="7"/>
  <c r="I105" i="7"/>
  <c r="S117" i="7"/>
  <c r="S118" i="7" s="1"/>
  <c r="L119" i="7"/>
  <c r="M119" i="7" s="1"/>
  <c r="I206" i="7"/>
  <c r="C219" i="7"/>
  <c r="I71" i="7"/>
  <c r="K66" i="7"/>
  <c r="T62" i="7"/>
  <c r="B10" i="107"/>
  <c r="D20" i="107"/>
  <c r="D21" i="107" s="1"/>
  <c r="R117" i="7"/>
  <c r="R118" i="7" s="1"/>
  <c r="L118" i="7"/>
  <c r="M118" i="7" s="1"/>
  <c r="B16" i="104"/>
  <c r="L44" i="7"/>
  <c r="M44" i="7" s="1"/>
  <c r="P45" i="7"/>
  <c r="R45" i="7"/>
  <c r="R46" i="7" s="1"/>
  <c r="L46" i="7"/>
  <c r="M46" i="7" s="1"/>
  <c r="L47" i="7" l="1"/>
  <c r="M47" i="7" s="1"/>
  <c r="L49" i="7"/>
  <c r="M49" i="7" s="1"/>
  <c r="X44" i="7"/>
  <c r="K52" i="7"/>
  <c r="D51" i="16" s="1"/>
  <c r="K34" i="109"/>
  <c r="B35" i="109"/>
  <c r="C35" i="109" s="1"/>
  <c r="D35" i="109" s="1"/>
  <c r="E35" i="109" s="1"/>
  <c r="S171" i="7"/>
  <c r="S172" i="7" s="1"/>
  <c r="L173" i="7"/>
  <c r="M173" i="7" s="1"/>
  <c r="E34" i="108"/>
  <c r="U171" i="7"/>
  <c r="L175" i="7"/>
  <c r="M175" i="7" s="1"/>
  <c r="U172" i="7"/>
  <c r="G34" i="108"/>
  <c r="T171" i="7"/>
  <c r="L174" i="7"/>
  <c r="M174" i="7" s="1"/>
  <c r="T172" i="7"/>
  <c r="F34" i="108"/>
  <c r="Q171" i="7"/>
  <c r="L171" i="7"/>
  <c r="M171" i="7" s="1"/>
  <c r="C34" i="108"/>
  <c r="Q172" i="7"/>
  <c r="V171" i="7"/>
  <c r="L176" i="7"/>
  <c r="M176" i="7" s="1"/>
  <c r="V172" i="7"/>
  <c r="H34" i="108"/>
  <c r="K178" i="7"/>
  <c r="D58" i="16" s="1"/>
  <c r="X170" i="7"/>
  <c r="B34" i="108"/>
  <c r="L172" i="7"/>
  <c r="M172" i="7" s="1"/>
  <c r="R171" i="7"/>
  <c r="R172" i="7" s="1"/>
  <c r="D34" i="108"/>
  <c r="T135" i="7"/>
  <c r="L138" i="7"/>
  <c r="M138" i="7" s="1"/>
  <c r="T136" i="7"/>
  <c r="F34" i="106"/>
  <c r="Q135" i="7"/>
  <c r="Q136" i="7" s="1"/>
  <c r="L135" i="7"/>
  <c r="M135" i="7" s="1"/>
  <c r="C34" i="106"/>
  <c r="H34" i="106"/>
  <c r="K142" i="7"/>
  <c r="D56" i="16" s="1"/>
  <c r="X134" i="7"/>
  <c r="B34" i="106"/>
  <c r="R135" i="7"/>
  <c r="R136" i="7" s="1"/>
  <c r="L136" i="7"/>
  <c r="M136" i="7" s="1"/>
  <c r="D34" i="106"/>
  <c r="S135" i="7"/>
  <c r="S136" i="7" s="1"/>
  <c r="L137" i="7"/>
  <c r="M137" i="7" s="1"/>
  <c r="E34" i="106"/>
  <c r="U135" i="7"/>
  <c r="U136" i="7" s="1"/>
  <c r="L139" i="7"/>
  <c r="M139" i="7" s="1"/>
  <c r="G34" i="106"/>
  <c r="H34" i="107"/>
  <c r="X152" i="7"/>
  <c r="B34" i="107"/>
  <c r="K160" i="7"/>
  <c r="D57" i="16" s="1"/>
  <c r="R153" i="7"/>
  <c r="L154" i="7"/>
  <c r="M154" i="7" s="1"/>
  <c r="R154" i="7"/>
  <c r="D34" i="107"/>
  <c r="L155" i="7"/>
  <c r="M155" i="7" s="1"/>
  <c r="S153" i="7"/>
  <c r="S154" i="7" s="1"/>
  <c r="E34" i="107"/>
  <c r="U153" i="7"/>
  <c r="U154" i="7" s="1"/>
  <c r="L157" i="7"/>
  <c r="M157" i="7" s="1"/>
  <c r="G34" i="107"/>
  <c r="T153" i="7"/>
  <c r="L156" i="7"/>
  <c r="M156" i="7" s="1"/>
  <c r="F34" i="107"/>
  <c r="T154" i="7"/>
  <c r="Q153" i="7"/>
  <c r="Q154" i="7" s="1"/>
  <c r="L153" i="7"/>
  <c r="M153" i="7" s="1"/>
  <c r="C34" i="107"/>
  <c r="T207" i="7"/>
  <c r="T208" i="7" s="1"/>
  <c r="L210" i="7"/>
  <c r="M210" i="7" s="1"/>
  <c r="F34" i="110"/>
  <c r="Q207" i="7"/>
  <c r="Q208" i="7" s="1"/>
  <c r="L207" i="7"/>
  <c r="M207" i="7" s="1"/>
  <c r="C34" i="110"/>
  <c r="V207" i="7"/>
  <c r="V208" i="7" s="1"/>
  <c r="L212" i="7"/>
  <c r="M212" i="7" s="1"/>
  <c r="H34" i="110"/>
  <c r="X206" i="7"/>
  <c r="B34" i="110"/>
  <c r="K214" i="7"/>
  <c r="D60" i="16" s="1"/>
  <c r="R207" i="7"/>
  <c r="R208" i="7" s="1"/>
  <c r="L208" i="7"/>
  <c r="M208" i="7" s="1"/>
  <c r="D34" i="110"/>
  <c r="S207" i="7"/>
  <c r="S208" i="7" s="1"/>
  <c r="L209" i="7"/>
  <c r="M209" i="7" s="1"/>
  <c r="E34" i="110"/>
  <c r="L211" i="7"/>
  <c r="M211" i="7" s="1"/>
  <c r="U207" i="7"/>
  <c r="U208" i="7"/>
  <c r="G34" i="110"/>
  <c r="I165" i="7"/>
  <c r="I147" i="7"/>
  <c r="F7" i="7"/>
  <c r="F5" i="9" s="1"/>
  <c r="L50" i="7"/>
  <c r="M50" i="7" s="1"/>
  <c r="V45" i="7"/>
  <c r="V46" i="7" s="1"/>
  <c r="L45" i="7"/>
  <c r="M45" i="7" s="1"/>
  <c r="Q45" i="7"/>
  <c r="Q46" i="7" s="1"/>
  <c r="I57" i="7"/>
  <c r="X189" i="7"/>
  <c r="P190" i="7"/>
  <c r="X190" i="7" s="1"/>
  <c r="L196" i="7"/>
  <c r="M188" i="7"/>
  <c r="M196" i="7" s="1"/>
  <c r="L158" i="7"/>
  <c r="M158" i="7" s="1"/>
  <c r="V153" i="7"/>
  <c r="V154" i="7" s="1"/>
  <c r="L140" i="7"/>
  <c r="M140" i="7" s="1"/>
  <c r="V135" i="7"/>
  <c r="V136" i="7" s="1"/>
  <c r="L152" i="7"/>
  <c r="M152" i="7" s="1"/>
  <c r="P153" i="7"/>
  <c r="P154" i="7" s="1"/>
  <c r="I183" i="7"/>
  <c r="P171" i="7"/>
  <c r="P172" i="7" s="1"/>
  <c r="L170" i="7"/>
  <c r="M170" i="7" s="1"/>
  <c r="M178" i="7" s="1"/>
  <c r="L134" i="7"/>
  <c r="M134" i="7" s="1"/>
  <c r="P135" i="7"/>
  <c r="P136" i="7" s="1"/>
  <c r="I219" i="7"/>
  <c r="P207" i="7"/>
  <c r="P208" i="7" s="1"/>
  <c r="L206" i="7"/>
  <c r="M206" i="7" s="1"/>
  <c r="H7" i="7"/>
  <c r="B7" i="7"/>
  <c r="D7" i="7"/>
  <c r="G7" i="7"/>
  <c r="C7" i="7"/>
  <c r="D24" i="16"/>
  <c r="E24" i="16" s="1"/>
  <c r="F38" i="7"/>
  <c r="E34" i="104"/>
  <c r="U81" i="7"/>
  <c r="U82" i="7" s="1"/>
  <c r="L85" i="7"/>
  <c r="M85" i="7" s="1"/>
  <c r="G34" i="103"/>
  <c r="X117" i="7"/>
  <c r="F53" i="106"/>
  <c r="F17" i="14"/>
  <c r="F50" i="14" s="1"/>
  <c r="M124" i="7"/>
  <c r="B34" i="17"/>
  <c r="X62" i="7"/>
  <c r="B34" i="104"/>
  <c r="X98" i="7"/>
  <c r="I53" i="103"/>
  <c r="I11" i="14"/>
  <c r="I47" i="14" s="1"/>
  <c r="L66" i="7"/>
  <c r="M66" i="7" s="1"/>
  <c r="T63" i="7"/>
  <c r="Q81" i="7"/>
  <c r="Q82" i="7" s="1"/>
  <c r="L81" i="7"/>
  <c r="M81" i="7" s="1"/>
  <c r="L62" i="7"/>
  <c r="M62" i="7" s="1"/>
  <c r="I75" i="7"/>
  <c r="P63" i="7"/>
  <c r="I34" i="104"/>
  <c r="S81" i="7"/>
  <c r="L83" i="7"/>
  <c r="M83" i="7" s="1"/>
  <c r="I93" i="7"/>
  <c r="P81" i="7"/>
  <c r="L80" i="7"/>
  <c r="D34" i="104"/>
  <c r="L87" i="7"/>
  <c r="M87" i="7" s="1"/>
  <c r="W81" i="7"/>
  <c r="W82" i="7" s="1"/>
  <c r="B35" i="12"/>
  <c r="K34" i="12"/>
  <c r="R99" i="7"/>
  <c r="R100" i="7" s="1"/>
  <c r="L100" i="7"/>
  <c r="M100" i="7" s="1"/>
  <c r="H34" i="103"/>
  <c r="K70" i="7"/>
  <c r="Q99" i="7"/>
  <c r="Q100" i="7" s="1"/>
  <c r="L99" i="7"/>
  <c r="M99" i="7" s="1"/>
  <c r="L105" i="7"/>
  <c r="M105" i="7" s="1"/>
  <c r="W99" i="7"/>
  <c r="W100" i="7" s="1"/>
  <c r="E34" i="103"/>
  <c r="L124" i="7"/>
  <c r="K88" i="7"/>
  <c r="D53" i="16" s="1"/>
  <c r="E7" i="7"/>
  <c r="E34" i="17"/>
  <c r="C34" i="104"/>
  <c r="D34" i="17"/>
  <c r="K106" i="7"/>
  <c r="D54" i="16" s="1"/>
  <c r="D27" i="14"/>
  <c r="Q63" i="7"/>
  <c r="L63" i="7"/>
  <c r="M63" i="7" s="1"/>
  <c r="F34" i="17"/>
  <c r="C34" i="103"/>
  <c r="B34" i="103"/>
  <c r="X80" i="7"/>
  <c r="P118" i="7"/>
  <c r="X118" i="7" s="1"/>
  <c r="E53" i="105"/>
  <c r="E15" i="14"/>
  <c r="E49" i="14" s="1"/>
  <c r="S46" i="7"/>
  <c r="E53" i="17"/>
  <c r="E9" i="14"/>
  <c r="E46" i="14" s="1"/>
  <c r="S63" i="7"/>
  <c r="S64" i="7" s="1"/>
  <c r="L65" i="7"/>
  <c r="M65" i="7" s="1"/>
  <c r="E53" i="110"/>
  <c r="E25" i="14"/>
  <c r="E54" i="14" s="1"/>
  <c r="F53" i="12"/>
  <c r="F7" i="14"/>
  <c r="K34" i="105"/>
  <c r="B35" i="105"/>
  <c r="D34" i="103"/>
  <c r="V63" i="7"/>
  <c r="L68" i="7"/>
  <c r="M68" i="7" s="1"/>
  <c r="R81" i="7"/>
  <c r="L82" i="7"/>
  <c r="M82" i="7" s="1"/>
  <c r="E45" i="14"/>
  <c r="E27" i="14"/>
  <c r="F53" i="109"/>
  <c r="F23" i="14"/>
  <c r="F53" i="14" s="1"/>
  <c r="H34" i="17"/>
  <c r="P46" i="7"/>
  <c r="G34" i="17"/>
  <c r="F35" i="109"/>
  <c r="L101" i="7"/>
  <c r="M101" i="7" s="1"/>
  <c r="S99" i="7"/>
  <c r="S100" i="7" s="1"/>
  <c r="R63" i="7"/>
  <c r="R64" i="7" s="1"/>
  <c r="L64" i="7"/>
  <c r="M64" i="7" s="1"/>
  <c r="P99" i="7"/>
  <c r="L98" i="7"/>
  <c r="I111" i="7"/>
  <c r="C34" i="17"/>
  <c r="U63" i="7"/>
  <c r="U64" i="7" s="1"/>
  <c r="L67" i="7"/>
  <c r="M67" i="7" s="1"/>
  <c r="I34" i="103"/>
  <c r="I7" i="7"/>
  <c r="L86" i="7"/>
  <c r="M86" i="7" s="1"/>
  <c r="V81" i="7"/>
  <c r="V82" i="7" s="1"/>
  <c r="F5" i="8" l="1"/>
  <c r="M52" i="7"/>
  <c r="X45" i="7"/>
  <c r="M214" i="7"/>
  <c r="X208" i="7"/>
  <c r="L52" i="7"/>
  <c r="K34" i="108"/>
  <c r="B35" i="108"/>
  <c r="C35" i="108" s="1"/>
  <c r="D35" i="108" s="1"/>
  <c r="E35" i="108" s="1"/>
  <c r="F35" i="108" s="1"/>
  <c r="G35" i="108" s="1"/>
  <c r="B35" i="106"/>
  <c r="C35" i="106" s="1"/>
  <c r="D35" i="106" s="1"/>
  <c r="E35" i="106" s="1"/>
  <c r="F35" i="106" s="1"/>
  <c r="K34" i="106"/>
  <c r="K34" i="107"/>
  <c r="B35" i="107"/>
  <c r="C35" i="107" s="1"/>
  <c r="D35" i="107" s="1"/>
  <c r="E35" i="107" s="1"/>
  <c r="F35" i="107" s="1"/>
  <c r="G35" i="107" s="1"/>
  <c r="K34" i="110"/>
  <c r="B35" i="110"/>
  <c r="C35" i="110" s="1"/>
  <c r="D35" i="110" s="1"/>
  <c r="E35" i="110" s="1"/>
  <c r="F35" i="110" s="1"/>
  <c r="X172" i="7"/>
  <c r="M142" i="7"/>
  <c r="X136" i="7"/>
  <c r="X154" i="7"/>
  <c r="M160" i="7"/>
  <c r="L160" i="7"/>
  <c r="X153" i="7"/>
  <c r="X171" i="7"/>
  <c r="L178" i="7"/>
  <c r="L142" i="7"/>
  <c r="X135" i="7"/>
  <c r="X207" i="7"/>
  <c r="L214" i="7"/>
  <c r="C5" i="9"/>
  <c r="C29" i="9" s="1"/>
  <c r="C5" i="8"/>
  <c r="C22" i="8" s="1"/>
  <c r="H5" i="8"/>
  <c r="H22" i="8" s="1"/>
  <c r="H5" i="9"/>
  <c r="H29" i="9" s="1"/>
  <c r="G5" i="9"/>
  <c r="G29" i="9" s="1"/>
  <c r="G5" i="8"/>
  <c r="G22" i="8" s="1"/>
  <c r="X99" i="7"/>
  <c r="L106" i="7"/>
  <c r="B5" i="9"/>
  <c r="B5" i="8"/>
  <c r="B22" i="8" s="1"/>
  <c r="D5" i="9"/>
  <c r="D5" i="8"/>
  <c r="D22" i="8" s="1"/>
  <c r="T64" i="7"/>
  <c r="F8" i="7"/>
  <c r="S82" i="7"/>
  <c r="E8" i="7"/>
  <c r="E9" i="7" s="1"/>
  <c r="C8" i="7"/>
  <c r="Q64" i="7"/>
  <c r="B8" i="7"/>
  <c r="B6" i="9" s="1"/>
  <c r="L88" i="7"/>
  <c r="I8" i="7"/>
  <c r="D17" i="16"/>
  <c r="E17" i="16" s="1"/>
  <c r="D8" i="7"/>
  <c r="H8" i="7"/>
  <c r="I41" i="103"/>
  <c r="R82" i="7"/>
  <c r="B35" i="17"/>
  <c r="K34" i="17"/>
  <c r="G53" i="109"/>
  <c r="G23" i="14"/>
  <c r="G53" i="14" s="1"/>
  <c r="G8" i="7"/>
  <c r="M70" i="7"/>
  <c r="C35" i="12"/>
  <c r="P100" i="7"/>
  <c r="X100" i="7" s="1"/>
  <c r="V64" i="7"/>
  <c r="X81" i="7"/>
  <c r="C35" i="105"/>
  <c r="F53" i="105"/>
  <c r="F15" i="14"/>
  <c r="F49" i="14" s="1"/>
  <c r="M80" i="7"/>
  <c r="M88" i="7" s="1"/>
  <c r="G53" i="106"/>
  <c r="G17" i="14"/>
  <c r="G50" i="14" s="1"/>
  <c r="D52" i="16"/>
  <c r="G53" i="12"/>
  <c r="G7" i="14"/>
  <c r="F29" i="9"/>
  <c r="H41" i="17"/>
  <c r="G35" i="109"/>
  <c r="E5" i="9"/>
  <c r="E5" i="8"/>
  <c r="J53" i="103"/>
  <c r="K11" i="14" s="1"/>
  <c r="K47" i="14" s="1"/>
  <c r="J11" i="14"/>
  <c r="J47" i="14" s="1"/>
  <c r="F53" i="110"/>
  <c r="F25" i="14"/>
  <c r="F54" i="14" s="1"/>
  <c r="P82" i="7"/>
  <c r="X63" i="7"/>
  <c r="B35" i="104"/>
  <c r="K34" i="104"/>
  <c r="X46" i="7"/>
  <c r="I5" i="9"/>
  <c r="I5" i="8"/>
  <c r="J7" i="7"/>
  <c r="F53" i="17"/>
  <c r="F9" i="14"/>
  <c r="F46" i="14" s="1"/>
  <c r="B35" i="103"/>
  <c r="K34" i="103"/>
  <c r="L70" i="7"/>
  <c r="P64" i="7"/>
  <c r="M98" i="7"/>
  <c r="M106" i="7" s="1"/>
  <c r="F45" i="14"/>
  <c r="F22" i="8"/>
  <c r="F27" i="14" l="1"/>
  <c r="H6" i="9"/>
  <c r="H6" i="8"/>
  <c r="D6" i="9"/>
  <c r="D9" i="7"/>
  <c r="B6" i="10"/>
  <c r="B7" i="10" s="1"/>
  <c r="B6" i="8"/>
  <c r="B9" i="7"/>
  <c r="D6" i="8"/>
  <c r="D6" i="10"/>
  <c r="H6" i="10"/>
  <c r="H9" i="7"/>
  <c r="C9" i="7"/>
  <c r="C6" i="9"/>
  <c r="C6" i="10"/>
  <c r="C6" i="8"/>
  <c r="I9" i="7"/>
  <c r="I6" i="9"/>
  <c r="I6" i="10"/>
  <c r="I6" i="8"/>
  <c r="J8" i="7"/>
  <c r="B29" i="9"/>
  <c r="B7" i="9"/>
  <c r="B31" i="9" s="1"/>
  <c r="D29" i="9"/>
  <c r="F9" i="7"/>
  <c r="F6" i="10"/>
  <c r="F6" i="9"/>
  <c r="F6" i="8"/>
  <c r="X82" i="7"/>
  <c r="E6" i="10"/>
  <c r="E6" i="8"/>
  <c r="E6" i="9"/>
  <c r="J5" i="9"/>
  <c r="I22" i="8"/>
  <c r="G35" i="110"/>
  <c r="G35" i="106"/>
  <c r="G6" i="10"/>
  <c r="G6" i="9"/>
  <c r="G6" i="8"/>
  <c r="G9" i="7"/>
  <c r="H53" i="106"/>
  <c r="H17" i="14"/>
  <c r="H50" i="14" s="1"/>
  <c r="G45" i="14"/>
  <c r="C35" i="17"/>
  <c r="B30" i="9"/>
  <c r="I29" i="9"/>
  <c r="X64" i="7"/>
  <c r="H7" i="14"/>
  <c r="H53" i="12"/>
  <c r="H53" i="109"/>
  <c r="H23" i="14"/>
  <c r="H53" i="14" s="1"/>
  <c r="H35" i="108"/>
  <c r="C35" i="103"/>
  <c r="E22" i="8"/>
  <c r="E29" i="9"/>
  <c r="G53" i="105"/>
  <c r="G15" i="14"/>
  <c r="G49" i="14" s="1"/>
  <c r="J5" i="8"/>
  <c r="H35" i="109"/>
  <c r="B23" i="8"/>
  <c r="C23" i="8" s="1"/>
  <c r="D23" i="8" s="1"/>
  <c r="D35" i="105"/>
  <c r="H35" i="107"/>
  <c r="G53" i="17"/>
  <c r="G9" i="14"/>
  <c r="G46" i="14" s="1"/>
  <c r="C35" i="104"/>
  <c r="G53" i="110"/>
  <c r="G25" i="14"/>
  <c r="G54" i="14" s="1"/>
  <c r="D35" i="12"/>
  <c r="G27" i="14" l="1"/>
  <c r="H7" i="9"/>
  <c r="H31" i="9" s="1"/>
  <c r="H30" i="9"/>
  <c r="D30" i="9"/>
  <c r="D7" i="9"/>
  <c r="D31" i="9" s="1"/>
  <c r="H24" i="8"/>
  <c r="H26" i="8" s="1"/>
  <c r="H7" i="8"/>
  <c r="I24" i="8"/>
  <c r="I26" i="8" s="1"/>
  <c r="I7" i="8"/>
  <c r="B24" i="8"/>
  <c r="B7" i="8"/>
  <c r="D24" i="8"/>
  <c r="D26" i="8" s="1"/>
  <c r="D7" i="8"/>
  <c r="E23" i="8"/>
  <c r="F23" i="8" s="1"/>
  <c r="G23" i="8" s="1"/>
  <c r="H23" i="8" s="1"/>
  <c r="I23" i="8" s="1"/>
  <c r="C30" i="9"/>
  <c r="C7" i="9"/>
  <c r="C31" i="9" s="1"/>
  <c r="C7" i="10"/>
  <c r="D7" i="10" s="1"/>
  <c r="E7" i="10" s="1"/>
  <c r="F7" i="10" s="1"/>
  <c r="G7" i="10" s="1"/>
  <c r="H7" i="10" s="1"/>
  <c r="I7" i="10" s="1"/>
  <c r="I30" i="9"/>
  <c r="I7" i="9"/>
  <c r="I31" i="9" s="1"/>
  <c r="F24" i="8"/>
  <c r="F26" i="8" s="1"/>
  <c r="F7" i="8"/>
  <c r="C24" i="8"/>
  <c r="C26" i="8" s="1"/>
  <c r="C7" i="8"/>
  <c r="F7" i="9"/>
  <c r="F31" i="9" s="1"/>
  <c r="F30" i="9"/>
  <c r="K29" i="9"/>
  <c r="K6" i="10"/>
  <c r="E24" i="8"/>
  <c r="E26" i="8" s="1"/>
  <c r="E7" i="8"/>
  <c r="E30" i="9"/>
  <c r="E7" i="9"/>
  <c r="E31" i="9" s="1"/>
  <c r="G30" i="9"/>
  <c r="G7" i="9"/>
  <c r="G31" i="9" s="1"/>
  <c r="D35" i="104"/>
  <c r="J22" i="8"/>
  <c r="H35" i="106"/>
  <c r="H53" i="110"/>
  <c r="H25" i="14"/>
  <c r="H54" i="14" s="1"/>
  <c r="I35" i="109"/>
  <c r="H53" i="17"/>
  <c r="H9" i="14"/>
  <c r="H46" i="14" s="1"/>
  <c r="I35" i="108"/>
  <c r="G24" i="8"/>
  <c r="G7" i="8"/>
  <c r="H45" i="14"/>
  <c r="J9" i="7"/>
  <c r="D16" i="16" s="1"/>
  <c r="E16" i="16" s="1"/>
  <c r="I35" i="107"/>
  <c r="I53" i="106"/>
  <c r="I17" i="14"/>
  <c r="I50" i="14" s="1"/>
  <c r="J6" i="9"/>
  <c r="H35" i="110"/>
  <c r="E35" i="12"/>
  <c r="H53" i="105"/>
  <c r="H15" i="14"/>
  <c r="H49" i="14" s="1"/>
  <c r="I53" i="109"/>
  <c r="I23" i="14"/>
  <c r="I53" i="14" s="1"/>
  <c r="I7" i="14"/>
  <c r="I53" i="12"/>
  <c r="J6" i="8"/>
  <c r="D35" i="103"/>
  <c r="E35" i="105"/>
  <c r="B32" i="9"/>
  <c r="D35" i="17"/>
  <c r="B26" i="8" l="1"/>
  <c r="B27" i="8" s="1"/>
  <c r="B25" i="8"/>
  <c r="C25" i="8" s="1"/>
  <c r="D25" i="8" s="1"/>
  <c r="E25" i="8" s="1"/>
  <c r="F25" i="8" s="1"/>
  <c r="G25" i="8" s="1"/>
  <c r="H25" i="8" s="1"/>
  <c r="I25" i="8" s="1"/>
  <c r="I8" i="10"/>
  <c r="K30" i="9"/>
  <c r="B8" i="10"/>
  <c r="F8" i="10"/>
  <c r="E8" i="10"/>
  <c r="D8" i="10"/>
  <c r="C8" i="10"/>
  <c r="J7" i="8"/>
  <c r="E16" i="8" s="1"/>
  <c r="G26" i="8"/>
  <c r="J24" i="8"/>
  <c r="F35" i="105"/>
  <c r="E35" i="103"/>
  <c r="H27" i="14"/>
  <c r="I53" i="110"/>
  <c r="I25" i="14"/>
  <c r="I54" i="14" s="1"/>
  <c r="J53" i="109"/>
  <c r="K23" i="14" s="1"/>
  <c r="K53" i="14" s="1"/>
  <c r="J23" i="14"/>
  <c r="J53" i="14" s="1"/>
  <c r="E35" i="17"/>
  <c r="J7" i="9"/>
  <c r="I35" i="110"/>
  <c r="I35" i="106"/>
  <c r="I53" i="105"/>
  <c r="I15" i="14"/>
  <c r="I49" i="14" s="1"/>
  <c r="F35" i="12"/>
  <c r="K31" i="9"/>
  <c r="J53" i="12"/>
  <c r="J7" i="14"/>
  <c r="G8" i="10"/>
  <c r="H8" i="10"/>
  <c r="I45" i="14"/>
  <c r="I27" i="14"/>
  <c r="C32" i="9"/>
  <c r="J53" i="106"/>
  <c r="K17" i="14" s="1"/>
  <c r="K50" i="14" s="1"/>
  <c r="J17" i="14"/>
  <c r="J50" i="14" s="1"/>
  <c r="I53" i="17"/>
  <c r="I9" i="14"/>
  <c r="I46" i="14" s="1"/>
  <c r="E35" i="104"/>
  <c r="D33" i="16"/>
  <c r="J26" i="8" l="1"/>
  <c r="P64" i="8"/>
  <c r="B31" i="8"/>
  <c r="B32" i="8" s="1"/>
  <c r="C27" i="8"/>
  <c r="V68" i="8"/>
  <c r="U68" i="8"/>
  <c r="S68" i="8"/>
  <c r="R68" i="8"/>
  <c r="Q68" i="8"/>
  <c r="C16" i="8"/>
  <c r="C28" i="9" s="1"/>
  <c r="B16" i="8"/>
  <c r="P63" i="8" s="1"/>
  <c r="I14" i="8"/>
  <c r="H14" i="8"/>
  <c r="I16" i="8"/>
  <c r="I28" i="9" s="1"/>
  <c r="P68" i="8"/>
  <c r="G14" i="8"/>
  <c r="H16" i="8"/>
  <c r="H28" i="9" s="1"/>
  <c r="F14" i="8"/>
  <c r="G16" i="8"/>
  <c r="G28" i="9" s="1"/>
  <c r="E14" i="8"/>
  <c r="F16" i="8"/>
  <c r="F28" i="9" s="1"/>
  <c r="D14" i="8"/>
  <c r="D16" i="8"/>
  <c r="C14" i="8"/>
  <c r="B14" i="8"/>
  <c r="W68" i="8"/>
  <c r="T68" i="8"/>
  <c r="E28" i="9"/>
  <c r="G35" i="12"/>
  <c r="G35" i="105"/>
  <c r="D32" i="9"/>
  <c r="J53" i="110"/>
  <c r="K25" i="14" s="1"/>
  <c r="K54" i="14" s="1"/>
  <c r="J25" i="14"/>
  <c r="J54" i="14" s="1"/>
  <c r="J53" i="105"/>
  <c r="K15" i="14" s="1"/>
  <c r="K49" i="14" s="1"/>
  <c r="J15" i="14"/>
  <c r="J49" i="14" s="1"/>
  <c r="F33" i="16"/>
  <c r="E33" i="16"/>
  <c r="F35" i="104"/>
  <c r="B15" i="9"/>
  <c r="J56" i="9"/>
  <c r="X39" i="8" s="1"/>
  <c r="I56" i="9"/>
  <c r="W39" i="8" s="1"/>
  <c r="B22" i="9"/>
  <c r="D22" i="9" s="1"/>
  <c r="H56" i="9"/>
  <c r="V39" i="8" s="1"/>
  <c r="G56" i="9"/>
  <c r="U39" i="8" s="1"/>
  <c r="F56" i="9"/>
  <c r="T39" i="8" s="1"/>
  <c r="B10" i="9"/>
  <c r="H57" i="9" s="1"/>
  <c r="V37" i="8" s="1"/>
  <c r="E56" i="9"/>
  <c r="S39" i="8" s="1"/>
  <c r="D56" i="9"/>
  <c r="R39" i="8" s="1"/>
  <c r="B17" i="9"/>
  <c r="B11" i="9"/>
  <c r="C56" i="9"/>
  <c r="Q39" i="8" s="1"/>
  <c r="B56" i="9"/>
  <c r="P39" i="8" s="1"/>
  <c r="B16" i="9"/>
  <c r="B24" i="9" s="1"/>
  <c r="J53" i="17"/>
  <c r="J9" i="14"/>
  <c r="J46" i="14" s="1"/>
  <c r="J45" i="14"/>
  <c r="F35" i="103"/>
  <c r="K7" i="14"/>
  <c r="F35" i="17"/>
  <c r="P65" i="8" l="1"/>
  <c r="C31" i="8"/>
  <c r="D27" i="8"/>
  <c r="Q64" i="8"/>
  <c r="C42" i="9"/>
  <c r="C50" i="9"/>
  <c r="E42" i="9"/>
  <c r="E50" i="9"/>
  <c r="C33" i="108"/>
  <c r="C33" i="105"/>
  <c r="C33" i="107"/>
  <c r="C33" i="110"/>
  <c r="I33" i="109"/>
  <c r="I50" i="9"/>
  <c r="I42" i="9"/>
  <c r="I33" i="110"/>
  <c r="I33" i="107"/>
  <c r="I33" i="105"/>
  <c r="I33" i="106"/>
  <c r="D18" i="8"/>
  <c r="E18" i="8"/>
  <c r="C18" i="8"/>
  <c r="C33" i="106"/>
  <c r="C33" i="103"/>
  <c r="C33" i="109"/>
  <c r="C33" i="104"/>
  <c r="C33" i="12"/>
  <c r="C33" i="17"/>
  <c r="B28" i="9"/>
  <c r="B33" i="106" s="1"/>
  <c r="Q63" i="8"/>
  <c r="I33" i="108"/>
  <c r="I33" i="104"/>
  <c r="I33" i="12"/>
  <c r="I33" i="17"/>
  <c r="I33" i="103"/>
  <c r="H50" i="9"/>
  <c r="H42" i="9"/>
  <c r="G50" i="9"/>
  <c r="G42" i="9"/>
  <c r="H18" i="8"/>
  <c r="G18" i="8"/>
  <c r="J14" i="8"/>
  <c r="I18" i="8"/>
  <c r="F18" i="8"/>
  <c r="H33" i="106"/>
  <c r="H33" i="110"/>
  <c r="H33" i="107"/>
  <c r="H33" i="108"/>
  <c r="H33" i="12"/>
  <c r="H33" i="104"/>
  <c r="H33" i="109"/>
  <c r="H33" i="17"/>
  <c r="H33" i="105"/>
  <c r="H33" i="103"/>
  <c r="G33" i="109"/>
  <c r="G33" i="106"/>
  <c r="G33" i="110"/>
  <c r="G33" i="12"/>
  <c r="G33" i="104"/>
  <c r="G33" i="108"/>
  <c r="G33" i="107"/>
  <c r="G33" i="105"/>
  <c r="G33" i="17"/>
  <c r="G33" i="103"/>
  <c r="F33" i="103"/>
  <c r="F33" i="104"/>
  <c r="F33" i="12"/>
  <c r="F33" i="109"/>
  <c r="F33" i="106"/>
  <c r="F33" i="108"/>
  <c r="F33" i="17"/>
  <c r="F33" i="107"/>
  <c r="F33" i="105"/>
  <c r="F33" i="110"/>
  <c r="F42" i="9"/>
  <c r="F50" i="9"/>
  <c r="E33" i="109"/>
  <c r="E33" i="103"/>
  <c r="E33" i="110"/>
  <c r="E33" i="107"/>
  <c r="E33" i="108"/>
  <c r="E33" i="106"/>
  <c r="E33" i="105"/>
  <c r="D28" i="9"/>
  <c r="W63" i="8"/>
  <c r="U63" i="8"/>
  <c r="T63" i="8"/>
  <c r="S63" i="8"/>
  <c r="R63" i="8"/>
  <c r="V63" i="8"/>
  <c r="J16" i="8"/>
  <c r="E33" i="104"/>
  <c r="E33" i="12"/>
  <c r="E33" i="17"/>
  <c r="F57" i="9"/>
  <c r="T37" i="8" s="1"/>
  <c r="C57" i="9"/>
  <c r="Q37" i="8" s="1"/>
  <c r="J36" i="9"/>
  <c r="K9" i="14"/>
  <c r="K46" i="14" s="1"/>
  <c r="G57" i="9"/>
  <c r="U37" i="8" s="1"/>
  <c r="E32" i="9"/>
  <c r="G35" i="104"/>
  <c r="D23" i="9"/>
  <c r="D24" i="9" s="1"/>
  <c r="B12" i="9"/>
  <c r="B57" i="9"/>
  <c r="P37" i="8" s="1"/>
  <c r="I57" i="9"/>
  <c r="W37" i="8" s="1"/>
  <c r="B18" i="9"/>
  <c r="H35" i="105"/>
  <c r="K45" i="14"/>
  <c r="H35" i="12"/>
  <c r="G35" i="17"/>
  <c r="E57" i="9"/>
  <c r="S37" i="8" s="1"/>
  <c r="J57" i="9"/>
  <c r="X37" i="8" s="1"/>
  <c r="G35" i="103"/>
  <c r="J27" i="14"/>
  <c r="J55" i="9"/>
  <c r="X38" i="8" s="1"/>
  <c r="R67" i="8"/>
  <c r="I55" i="9"/>
  <c r="W38" i="8" s="1"/>
  <c r="Q67" i="8"/>
  <c r="H55" i="9"/>
  <c r="V38" i="8" s="1"/>
  <c r="G55" i="9"/>
  <c r="U38" i="8" s="1"/>
  <c r="F55" i="9"/>
  <c r="T38" i="8" s="1"/>
  <c r="E55" i="9"/>
  <c r="S38" i="8" s="1"/>
  <c r="D55" i="9"/>
  <c r="R38" i="8" s="1"/>
  <c r="C55" i="9"/>
  <c r="Q38" i="8" s="1"/>
  <c r="W67" i="8"/>
  <c r="B55" i="9"/>
  <c r="P38" i="8" s="1"/>
  <c r="V67" i="8"/>
  <c r="U67" i="8"/>
  <c r="T67" i="8"/>
  <c r="S67" i="8"/>
  <c r="P67" i="8"/>
  <c r="D57" i="9"/>
  <c r="R37" i="8" s="1"/>
  <c r="Q65" i="8" l="1"/>
  <c r="R64" i="8"/>
  <c r="R65" i="8" s="1"/>
  <c r="E27" i="8"/>
  <c r="D31" i="8"/>
  <c r="D30" i="8"/>
  <c r="D17" i="8"/>
  <c r="E30" i="8"/>
  <c r="E17" i="8"/>
  <c r="C30" i="8"/>
  <c r="C32" i="8" s="1"/>
  <c r="C17" i="8"/>
  <c r="B33" i="104"/>
  <c r="B33" i="103"/>
  <c r="B33" i="105"/>
  <c r="B33" i="12"/>
  <c r="C33" i="9"/>
  <c r="C34" i="9" s="1"/>
  <c r="B33" i="110"/>
  <c r="B36" i="110" s="1"/>
  <c r="B37" i="110" s="1"/>
  <c r="B42" i="9"/>
  <c r="B50" i="9"/>
  <c r="B33" i="9"/>
  <c r="B35" i="9" s="1"/>
  <c r="B37" i="9" s="1"/>
  <c r="B33" i="107"/>
  <c r="B33" i="17"/>
  <c r="B33" i="108"/>
  <c r="B33" i="109"/>
  <c r="H17" i="8"/>
  <c r="H30" i="8"/>
  <c r="G30" i="8"/>
  <c r="G17" i="8"/>
  <c r="I17" i="8"/>
  <c r="I30" i="8"/>
  <c r="F30" i="8"/>
  <c r="F17" i="8"/>
  <c r="D33" i="9"/>
  <c r="K28" i="9"/>
  <c r="D20" i="16" s="1"/>
  <c r="E20" i="16" s="1"/>
  <c r="D33" i="109"/>
  <c r="D33" i="106"/>
  <c r="D33" i="108"/>
  <c r="D33" i="107"/>
  <c r="D33" i="110"/>
  <c r="D33" i="105"/>
  <c r="D33" i="103"/>
  <c r="D42" i="9"/>
  <c r="D50" i="9"/>
  <c r="D33" i="17"/>
  <c r="D33" i="12"/>
  <c r="D33" i="104"/>
  <c r="R66" i="8"/>
  <c r="T66" i="8"/>
  <c r="S66" i="8"/>
  <c r="V66" i="8"/>
  <c r="Q66" i="8"/>
  <c r="W66" i="8"/>
  <c r="P66" i="8"/>
  <c r="U66" i="8"/>
  <c r="H35" i="103"/>
  <c r="H35" i="104"/>
  <c r="K27" i="14"/>
  <c r="B36" i="106"/>
  <c r="B37" i="106" s="1"/>
  <c r="C36" i="106"/>
  <c r="F32" i="9"/>
  <c r="E33" i="9"/>
  <c r="H35" i="17"/>
  <c r="I35" i="12"/>
  <c r="I35" i="105"/>
  <c r="J37" i="9"/>
  <c r="K36" i="9"/>
  <c r="D32" i="8" l="1"/>
  <c r="S64" i="8"/>
  <c r="S65" i="8" s="1"/>
  <c r="E31" i="8"/>
  <c r="F27" i="8"/>
  <c r="E32" i="8"/>
  <c r="J17" i="8"/>
  <c r="K33" i="110"/>
  <c r="K42" i="9"/>
  <c r="K50" i="9"/>
  <c r="D36" i="104"/>
  <c r="K33" i="104"/>
  <c r="C36" i="104"/>
  <c r="B36" i="104"/>
  <c r="F36" i="104"/>
  <c r="F37" i="104" s="1"/>
  <c r="D36" i="103"/>
  <c r="B36" i="103"/>
  <c r="F36" i="103"/>
  <c r="K33" i="103"/>
  <c r="C36" i="103"/>
  <c r="G36" i="105"/>
  <c r="K33" i="105"/>
  <c r="B36" i="105"/>
  <c r="C36" i="105"/>
  <c r="B36" i="12"/>
  <c r="C36" i="12"/>
  <c r="H36" i="105"/>
  <c r="D36" i="105"/>
  <c r="E36" i="105"/>
  <c r="F36" i="105"/>
  <c r="E36" i="103"/>
  <c r="G36" i="103"/>
  <c r="C36" i="110"/>
  <c r="D36" i="110"/>
  <c r="E36" i="110"/>
  <c r="F36" i="110"/>
  <c r="G36" i="110"/>
  <c r="H36" i="110"/>
  <c r="I36" i="110"/>
  <c r="B34" i="9"/>
  <c r="C35" i="9"/>
  <c r="C37" i="9" s="1"/>
  <c r="B36" i="107"/>
  <c r="C36" i="107"/>
  <c r="C36" i="17"/>
  <c r="B36" i="17"/>
  <c r="C36" i="108"/>
  <c r="E36" i="108"/>
  <c r="F36" i="108"/>
  <c r="H36" i="108"/>
  <c r="I36" i="108"/>
  <c r="K33" i="108"/>
  <c r="B36" i="108"/>
  <c r="D36" i="108"/>
  <c r="G36" i="108"/>
  <c r="G37" i="108" s="1"/>
  <c r="B36" i="109"/>
  <c r="D36" i="109"/>
  <c r="E36" i="109"/>
  <c r="G36" i="109"/>
  <c r="H36" i="109"/>
  <c r="K33" i="109"/>
  <c r="C36" i="109"/>
  <c r="F36" i="109"/>
  <c r="I36" i="109"/>
  <c r="D35" i="9"/>
  <c r="D37" i="9" s="1"/>
  <c r="D34" i="9"/>
  <c r="D36" i="106"/>
  <c r="K33" i="106"/>
  <c r="F36" i="106"/>
  <c r="E36" i="106"/>
  <c r="I36" i="105"/>
  <c r="G36" i="106"/>
  <c r="H36" i="106"/>
  <c r="I36" i="106"/>
  <c r="K33" i="107"/>
  <c r="D36" i="107"/>
  <c r="D37" i="107" s="1"/>
  <c r="E36" i="107"/>
  <c r="F36" i="107"/>
  <c r="G36" i="107"/>
  <c r="H36" i="107"/>
  <c r="I36" i="107"/>
  <c r="I36" i="12"/>
  <c r="F36" i="17"/>
  <c r="F37" i="17" s="1"/>
  <c r="G36" i="17"/>
  <c r="K33" i="17"/>
  <c r="D36" i="17"/>
  <c r="E36" i="17"/>
  <c r="K33" i="12"/>
  <c r="G36" i="12"/>
  <c r="F36" i="12"/>
  <c r="E36" i="12"/>
  <c r="D36" i="12"/>
  <c r="H36" i="12"/>
  <c r="E36" i="104"/>
  <c r="G36" i="104"/>
  <c r="H36" i="104"/>
  <c r="I35" i="104"/>
  <c r="I36" i="104" s="1"/>
  <c r="B51" i="9"/>
  <c r="B43" i="9"/>
  <c r="B38" i="9"/>
  <c r="E34" i="9"/>
  <c r="E35" i="9"/>
  <c r="E37" i="9" s="1"/>
  <c r="G32" i="9"/>
  <c r="F33" i="9"/>
  <c r="C37" i="106"/>
  <c r="C38" i="106"/>
  <c r="C40" i="106" s="1"/>
  <c r="B38" i="106"/>
  <c r="H36" i="17"/>
  <c r="I35" i="17"/>
  <c r="I35" i="103"/>
  <c r="I36" i="103" s="1"/>
  <c r="H36" i="103"/>
  <c r="J51" i="9"/>
  <c r="J52" i="9" s="1"/>
  <c r="J43" i="9"/>
  <c r="J44" i="9" s="1"/>
  <c r="B38" i="110"/>
  <c r="C45" i="106" l="1"/>
  <c r="C47" i="106" s="1"/>
  <c r="C41" i="106"/>
  <c r="F31" i="8"/>
  <c r="F32" i="8" s="1"/>
  <c r="G27" i="8"/>
  <c r="T64" i="8"/>
  <c r="T65" i="8" s="1"/>
  <c r="B38" i="12"/>
  <c r="B40" i="12" s="1"/>
  <c r="B37" i="12"/>
  <c r="F38" i="104"/>
  <c r="F40" i="104" s="1"/>
  <c r="F45" i="104" s="1"/>
  <c r="F47" i="104" s="1"/>
  <c r="D21" i="16"/>
  <c r="E21" i="16" s="1"/>
  <c r="C19" i="8"/>
  <c r="G19" i="8"/>
  <c r="H19" i="8"/>
  <c r="D19" i="8"/>
  <c r="E19" i="8"/>
  <c r="F19" i="8"/>
  <c r="I19" i="8"/>
  <c r="D37" i="104"/>
  <c r="D38" i="104"/>
  <c r="D40" i="104" s="1"/>
  <c r="C38" i="104"/>
  <c r="C40" i="104" s="1"/>
  <c r="C37" i="104"/>
  <c r="B37" i="104"/>
  <c r="B38" i="104"/>
  <c r="B40" i="104" s="1"/>
  <c r="D38" i="103"/>
  <c r="D40" i="103" s="1"/>
  <c r="D37" i="103"/>
  <c r="B38" i="103"/>
  <c r="B40" i="103" s="1"/>
  <c r="B37" i="103"/>
  <c r="F38" i="103"/>
  <c r="F40" i="103" s="1"/>
  <c r="F45" i="103" s="1"/>
  <c r="F47" i="103" s="1"/>
  <c r="F37" i="103"/>
  <c r="C37" i="103"/>
  <c r="C38" i="103"/>
  <c r="C40" i="103" s="1"/>
  <c r="G38" i="105"/>
  <c r="G40" i="105" s="1"/>
  <c r="G45" i="105" s="1"/>
  <c r="G47" i="105" s="1"/>
  <c r="G37" i="105"/>
  <c r="B38" i="105"/>
  <c r="B40" i="105" s="1"/>
  <c r="B37" i="105"/>
  <c r="C38" i="105"/>
  <c r="C40" i="105" s="1"/>
  <c r="C37" i="105"/>
  <c r="C38" i="12"/>
  <c r="C40" i="12" s="1"/>
  <c r="C37" i="12"/>
  <c r="H37" i="105"/>
  <c r="H38" i="105"/>
  <c r="H40" i="105" s="1"/>
  <c r="H45" i="105" s="1"/>
  <c r="H47" i="105" s="1"/>
  <c r="D38" i="105"/>
  <c r="D40" i="105" s="1"/>
  <c r="D37" i="105"/>
  <c r="E38" i="105"/>
  <c r="E40" i="105" s="1"/>
  <c r="E37" i="105"/>
  <c r="F37" i="105"/>
  <c r="F38" i="105"/>
  <c r="F40" i="105" s="1"/>
  <c r="F45" i="105" s="1"/>
  <c r="F47" i="105" s="1"/>
  <c r="E37" i="103"/>
  <c r="E38" i="103"/>
  <c r="E40" i="103" s="1"/>
  <c r="G37" i="103"/>
  <c r="G38" i="103"/>
  <c r="G40" i="103" s="1"/>
  <c r="B37" i="109"/>
  <c r="B38" i="109"/>
  <c r="D37" i="109"/>
  <c r="D38" i="109"/>
  <c r="D40" i="109" s="1"/>
  <c r="E37" i="109"/>
  <c r="E38" i="109"/>
  <c r="E40" i="109" s="1"/>
  <c r="G38" i="109"/>
  <c r="G40" i="109" s="1"/>
  <c r="G37" i="109"/>
  <c r="H37" i="109"/>
  <c r="H38" i="109"/>
  <c r="H40" i="109" s="1"/>
  <c r="I38" i="109"/>
  <c r="I40" i="109" s="1"/>
  <c r="I45" i="109" s="1"/>
  <c r="I47" i="109" s="1"/>
  <c r="I37" i="109"/>
  <c r="D43" i="9"/>
  <c r="D44" i="9" s="1"/>
  <c r="D45" i="9" s="1"/>
  <c r="D46" i="9" s="1"/>
  <c r="D9" i="10" s="1"/>
  <c r="D51" i="9"/>
  <c r="D52" i="9" s="1"/>
  <c r="D38" i="9"/>
  <c r="D37" i="106"/>
  <c r="D38" i="106"/>
  <c r="D40" i="106" s="1"/>
  <c r="F37" i="106"/>
  <c r="F38" i="106"/>
  <c r="F40" i="106" s="1"/>
  <c r="E38" i="106"/>
  <c r="E40" i="106" s="1"/>
  <c r="E37" i="106"/>
  <c r="G37" i="106"/>
  <c r="G38" i="106"/>
  <c r="G40" i="106" s="1"/>
  <c r="H37" i="106"/>
  <c r="H38" i="106"/>
  <c r="H40" i="106" s="1"/>
  <c r="G38" i="107"/>
  <c r="G40" i="107" s="1"/>
  <c r="G37" i="107"/>
  <c r="H37" i="107"/>
  <c r="H38" i="107"/>
  <c r="H40" i="107" s="1"/>
  <c r="I38" i="107"/>
  <c r="I40" i="107" s="1"/>
  <c r="I45" i="107" s="1"/>
  <c r="I47" i="107" s="1"/>
  <c r="I37" i="107"/>
  <c r="C38" i="110"/>
  <c r="C37" i="110"/>
  <c r="D37" i="110"/>
  <c r="D38" i="110"/>
  <c r="D40" i="110" s="1"/>
  <c r="E38" i="110"/>
  <c r="E40" i="110" s="1"/>
  <c r="E37" i="110"/>
  <c r="F37" i="110"/>
  <c r="F38" i="110"/>
  <c r="F40" i="110" s="1"/>
  <c r="G37" i="110"/>
  <c r="G38" i="110"/>
  <c r="G40" i="110" s="1"/>
  <c r="H37" i="110"/>
  <c r="H38" i="110"/>
  <c r="H40" i="110" s="1"/>
  <c r="I38" i="110"/>
  <c r="I40" i="110" s="1"/>
  <c r="I45" i="110" s="1"/>
  <c r="I47" i="110" s="1"/>
  <c r="I37" i="110"/>
  <c r="C43" i="9"/>
  <c r="C44" i="9" s="1"/>
  <c r="C45" i="9" s="1"/>
  <c r="C46" i="9" s="1"/>
  <c r="C9" i="10" s="1"/>
  <c r="C51" i="9"/>
  <c r="C52" i="9" s="1"/>
  <c r="C38" i="9"/>
  <c r="B37" i="107"/>
  <c r="B38" i="107"/>
  <c r="B40" i="107" s="1"/>
  <c r="B41" i="107" s="1"/>
  <c r="C37" i="107"/>
  <c r="C38" i="107"/>
  <c r="C40" i="107" s="1"/>
  <c r="D38" i="107"/>
  <c r="D40" i="107" s="1"/>
  <c r="C37" i="17"/>
  <c r="C38" i="17"/>
  <c r="C40" i="17" s="1"/>
  <c r="B37" i="17"/>
  <c r="B38" i="17"/>
  <c r="B40" i="17" s="1"/>
  <c r="C37" i="108"/>
  <c r="C38" i="108"/>
  <c r="C40" i="108" s="1"/>
  <c r="E37" i="108"/>
  <c r="E38" i="108"/>
  <c r="E40" i="108" s="1"/>
  <c r="F38" i="108"/>
  <c r="F40" i="108" s="1"/>
  <c r="G38" i="108"/>
  <c r="G40" i="108" s="1"/>
  <c r="F37" i="108"/>
  <c r="H38" i="108"/>
  <c r="H40" i="108" s="1"/>
  <c r="H37" i="108"/>
  <c r="I38" i="108"/>
  <c r="I40" i="108" s="1"/>
  <c r="I45" i="108" s="1"/>
  <c r="I47" i="108" s="1"/>
  <c r="I37" i="108"/>
  <c r="B37" i="108"/>
  <c r="B38" i="108"/>
  <c r="D38" i="108"/>
  <c r="D40" i="108" s="1"/>
  <c r="D37" i="108"/>
  <c r="C38" i="109"/>
  <c r="C40" i="109" s="1"/>
  <c r="C37" i="109"/>
  <c r="F37" i="109"/>
  <c r="F38" i="109"/>
  <c r="F40" i="109" s="1"/>
  <c r="I37" i="105"/>
  <c r="I38" i="105"/>
  <c r="I37" i="106"/>
  <c r="I38" i="106"/>
  <c r="E37" i="107"/>
  <c r="E38" i="107"/>
  <c r="F37" i="107"/>
  <c r="F38" i="107"/>
  <c r="F40" i="107" s="1"/>
  <c r="G38" i="12"/>
  <c r="G40" i="12" s="1"/>
  <c r="G37" i="12"/>
  <c r="F38" i="12"/>
  <c r="F40" i="12" s="1"/>
  <c r="F37" i="12"/>
  <c r="E38" i="12"/>
  <c r="E40" i="12" s="1"/>
  <c r="E37" i="12"/>
  <c r="D38" i="12"/>
  <c r="D37" i="12"/>
  <c r="E38" i="104"/>
  <c r="E40" i="104" s="1"/>
  <c r="E37" i="104"/>
  <c r="I37" i="12"/>
  <c r="I38" i="12"/>
  <c r="I40" i="12" s="1"/>
  <c r="I45" i="12" s="1"/>
  <c r="I47" i="12" s="1"/>
  <c r="G37" i="17"/>
  <c r="G38" i="17"/>
  <c r="G40" i="17" s="1"/>
  <c r="D37" i="17"/>
  <c r="D38" i="17"/>
  <c r="D40" i="17" s="1"/>
  <c r="F38" i="17"/>
  <c r="F40" i="17" s="1"/>
  <c r="E37" i="17"/>
  <c r="E38" i="17"/>
  <c r="E40" i="17" s="1"/>
  <c r="H37" i="12"/>
  <c r="H38" i="12"/>
  <c r="H40" i="12" s="1"/>
  <c r="G37" i="104"/>
  <c r="G38" i="104"/>
  <c r="G40" i="104" s="1"/>
  <c r="G45" i="104" s="1"/>
  <c r="G47" i="104" s="1"/>
  <c r="B44" i="9"/>
  <c r="B40" i="110"/>
  <c r="B41" i="110" s="1"/>
  <c r="E43" i="9"/>
  <c r="E44" i="9" s="1"/>
  <c r="E51" i="9"/>
  <c r="E52" i="9" s="1"/>
  <c r="E38" i="9"/>
  <c r="B52" i="9"/>
  <c r="I37" i="104"/>
  <c r="I38" i="104"/>
  <c r="I40" i="104" s="1"/>
  <c r="J45" i="9"/>
  <c r="J46" i="9" s="1"/>
  <c r="J9" i="10" s="1"/>
  <c r="I36" i="17"/>
  <c r="I37" i="103"/>
  <c r="I38" i="103"/>
  <c r="I40" i="103" s="1"/>
  <c r="I45" i="103" s="1"/>
  <c r="I47" i="103" s="1"/>
  <c r="H37" i="17"/>
  <c r="H38" i="17"/>
  <c r="H40" i="17" s="1"/>
  <c r="H45" i="17" s="1"/>
  <c r="H47" i="17" s="1"/>
  <c r="H37" i="104"/>
  <c r="H38" i="104"/>
  <c r="B40" i="106"/>
  <c r="B41" i="106" s="1"/>
  <c r="F34" i="9"/>
  <c r="F35" i="9"/>
  <c r="F37" i="9" s="1"/>
  <c r="H37" i="103"/>
  <c r="H38" i="103"/>
  <c r="H40" i="103" s="1"/>
  <c r="H32" i="9"/>
  <c r="G33" i="9"/>
  <c r="D45" i="110" l="1"/>
  <c r="D47" i="110" s="1"/>
  <c r="D41" i="110"/>
  <c r="E45" i="110"/>
  <c r="E47" i="110" s="1"/>
  <c r="E41" i="110"/>
  <c r="F45" i="110"/>
  <c r="F47" i="110" s="1"/>
  <c r="F41" i="110"/>
  <c r="G45" i="110"/>
  <c r="G47" i="110" s="1"/>
  <c r="G41" i="110"/>
  <c r="H45" i="110"/>
  <c r="H47" i="110" s="1"/>
  <c r="H41" i="110"/>
  <c r="D45" i="109"/>
  <c r="D47" i="109" s="1"/>
  <c r="D41" i="109"/>
  <c r="E45" i="109"/>
  <c r="E47" i="109" s="1"/>
  <c r="E41" i="109"/>
  <c r="G45" i="109"/>
  <c r="G47" i="109" s="1"/>
  <c r="G41" i="109"/>
  <c r="H45" i="109"/>
  <c r="H47" i="109" s="1"/>
  <c r="H41" i="109"/>
  <c r="C45" i="109"/>
  <c r="C47" i="109" s="1"/>
  <c r="C41" i="109"/>
  <c r="F45" i="109"/>
  <c r="F47" i="109" s="1"/>
  <c r="F41" i="109"/>
  <c r="C45" i="108"/>
  <c r="C47" i="108" s="1"/>
  <c r="C41" i="108"/>
  <c r="E45" i="108"/>
  <c r="E47" i="108" s="1"/>
  <c r="E41" i="108"/>
  <c r="F45" i="108"/>
  <c r="F47" i="108" s="1"/>
  <c r="F41" i="108"/>
  <c r="G45" i="108"/>
  <c r="G47" i="108" s="1"/>
  <c r="G41" i="108"/>
  <c r="H45" i="108"/>
  <c r="H47" i="108" s="1"/>
  <c r="H41" i="108"/>
  <c r="D45" i="108"/>
  <c r="D47" i="108" s="1"/>
  <c r="D41" i="108"/>
  <c r="G45" i="107"/>
  <c r="G47" i="107" s="1"/>
  <c r="G41" i="107"/>
  <c r="H45" i="107"/>
  <c r="H47" i="107" s="1"/>
  <c r="H41" i="107"/>
  <c r="C45" i="107"/>
  <c r="C47" i="107" s="1"/>
  <c r="C41" i="107"/>
  <c r="D45" i="107"/>
  <c r="D47" i="107" s="1"/>
  <c r="D41" i="107"/>
  <c r="F45" i="107"/>
  <c r="F47" i="107" s="1"/>
  <c r="F41" i="107"/>
  <c r="H45" i="106"/>
  <c r="H47" i="106" s="1"/>
  <c r="H41" i="106"/>
  <c r="G45" i="106"/>
  <c r="G47" i="106" s="1"/>
  <c r="G41" i="106"/>
  <c r="F45" i="106"/>
  <c r="F47" i="106" s="1"/>
  <c r="F41" i="106"/>
  <c r="E45" i="106"/>
  <c r="E47" i="106" s="1"/>
  <c r="E41" i="106"/>
  <c r="D45" i="106"/>
  <c r="D47" i="106" s="1"/>
  <c r="D41" i="106"/>
  <c r="E45" i="105"/>
  <c r="E47" i="105" s="1"/>
  <c r="E41" i="105"/>
  <c r="D45" i="105"/>
  <c r="D47" i="105" s="1"/>
  <c r="D41" i="105"/>
  <c r="C45" i="105"/>
  <c r="C47" i="105" s="1"/>
  <c r="C41" i="105"/>
  <c r="B45" i="105"/>
  <c r="B41" i="105"/>
  <c r="I45" i="104"/>
  <c r="I47" i="104" s="1"/>
  <c r="I41" i="104"/>
  <c r="H27" i="8"/>
  <c r="G31" i="8"/>
  <c r="G32" i="8" s="1"/>
  <c r="U64" i="8"/>
  <c r="U65" i="8" s="1"/>
  <c r="G45" i="17"/>
  <c r="G47" i="17" s="1"/>
  <c r="G41" i="17"/>
  <c r="D45" i="17"/>
  <c r="D47" i="17" s="1"/>
  <c r="D41" i="17"/>
  <c r="D45" i="104"/>
  <c r="D47" i="104" s="1"/>
  <c r="D41" i="104"/>
  <c r="C45" i="104"/>
  <c r="C47" i="104" s="1"/>
  <c r="C41" i="104"/>
  <c r="B45" i="104"/>
  <c r="B41" i="104"/>
  <c r="B45" i="12"/>
  <c r="B41" i="12"/>
  <c r="D45" i="103"/>
  <c r="D47" i="103" s="1"/>
  <c r="D41" i="103"/>
  <c r="B45" i="103"/>
  <c r="B41" i="103"/>
  <c r="C41" i="103"/>
  <c r="C45" i="103"/>
  <c r="C47" i="103" s="1"/>
  <c r="C45" i="12"/>
  <c r="C47" i="12" s="1"/>
  <c r="C41" i="12"/>
  <c r="E41" i="103"/>
  <c r="E45" i="103"/>
  <c r="E47" i="103" s="1"/>
  <c r="G41" i="103"/>
  <c r="G45" i="103"/>
  <c r="G47" i="103" s="1"/>
  <c r="K38" i="109"/>
  <c r="B40" i="109"/>
  <c r="B41" i="109" s="1"/>
  <c r="C41" i="17"/>
  <c r="C45" i="17"/>
  <c r="C47" i="17" s="1"/>
  <c r="B41" i="17"/>
  <c r="B45" i="17"/>
  <c r="K38" i="108"/>
  <c r="B40" i="108"/>
  <c r="B41" i="108" s="1"/>
  <c r="E45" i="17"/>
  <c r="E47" i="17" s="1"/>
  <c r="E41" i="17"/>
  <c r="C40" i="110"/>
  <c r="C41" i="110" s="1"/>
  <c r="K38" i="110"/>
  <c r="I40" i="105"/>
  <c r="I41" i="105" s="1"/>
  <c r="K38" i="105"/>
  <c r="I40" i="106"/>
  <c r="K38" i="106"/>
  <c r="E40" i="107"/>
  <c r="E41" i="107" s="1"/>
  <c r="K38" i="107"/>
  <c r="G45" i="12"/>
  <c r="G47" i="12" s="1"/>
  <c r="G41" i="12"/>
  <c r="F45" i="12"/>
  <c r="F47" i="12" s="1"/>
  <c r="F41" i="12"/>
  <c r="E41" i="12"/>
  <c r="E45" i="12"/>
  <c r="E47" i="12" s="1"/>
  <c r="E41" i="104"/>
  <c r="E45" i="104"/>
  <c r="E47" i="104" s="1"/>
  <c r="F45" i="17"/>
  <c r="F47" i="17" s="1"/>
  <c r="F41" i="17"/>
  <c r="D40" i="12"/>
  <c r="K40" i="12" s="1"/>
  <c r="K38" i="12"/>
  <c r="K38" i="103"/>
  <c r="F43" i="9"/>
  <c r="F44" i="9" s="1"/>
  <c r="F51" i="9"/>
  <c r="F52" i="9" s="1"/>
  <c r="F38" i="9"/>
  <c r="B45" i="106"/>
  <c r="E45" i="9"/>
  <c r="E46" i="9" s="1"/>
  <c r="E9" i="10" s="1"/>
  <c r="B45" i="110"/>
  <c r="H40" i="104"/>
  <c r="K38" i="104"/>
  <c r="H41" i="12"/>
  <c r="H45" i="12"/>
  <c r="B45" i="9"/>
  <c r="B46" i="9" s="1"/>
  <c r="G34" i="9"/>
  <c r="G35" i="9"/>
  <c r="G37" i="9" s="1"/>
  <c r="I37" i="17"/>
  <c r="I38" i="17"/>
  <c r="B54" i="9"/>
  <c r="I32" i="9"/>
  <c r="H33" i="9"/>
  <c r="B45" i="107"/>
  <c r="H41" i="103"/>
  <c r="H45" i="103"/>
  <c r="H47" i="103" s="1"/>
  <c r="K40" i="103"/>
  <c r="B47" i="105" l="1"/>
  <c r="B48" i="105" s="1"/>
  <c r="C48" i="105" s="1"/>
  <c r="D48" i="105" s="1"/>
  <c r="E48" i="105" s="1"/>
  <c r="F48" i="105" s="1"/>
  <c r="G48" i="105" s="1"/>
  <c r="H48" i="105" s="1"/>
  <c r="B52" i="105"/>
  <c r="I27" i="8"/>
  <c r="V64" i="8"/>
  <c r="V65" i="8" s="1"/>
  <c r="H31" i="8"/>
  <c r="H32" i="8" s="1"/>
  <c r="B47" i="104"/>
  <c r="B48" i="104" s="1"/>
  <c r="C48" i="104" s="1"/>
  <c r="D48" i="104" s="1"/>
  <c r="E48" i="104" s="1"/>
  <c r="F48" i="104" s="1"/>
  <c r="G48" i="104" s="1"/>
  <c r="B52" i="104"/>
  <c r="K45" i="103"/>
  <c r="E53" i="16" s="1"/>
  <c r="B52" i="12"/>
  <c r="B47" i="12"/>
  <c r="B48" i="12" s="1"/>
  <c r="C48" i="12" s="1"/>
  <c r="B47" i="103"/>
  <c r="B48" i="103" s="1"/>
  <c r="C48" i="103" s="1"/>
  <c r="D48" i="103" s="1"/>
  <c r="E48" i="103" s="1"/>
  <c r="F48" i="103" s="1"/>
  <c r="G48" i="103" s="1"/>
  <c r="H48" i="103" s="1"/>
  <c r="I48" i="103" s="1"/>
  <c r="J48" i="103" s="1"/>
  <c r="B52" i="103"/>
  <c r="K40" i="109"/>
  <c r="B45" i="109"/>
  <c r="C45" i="110"/>
  <c r="K40" i="110"/>
  <c r="B47" i="17"/>
  <c r="B48" i="17" s="1"/>
  <c r="C48" i="17" s="1"/>
  <c r="D48" i="17" s="1"/>
  <c r="E48" i="17" s="1"/>
  <c r="F48" i="17" s="1"/>
  <c r="G48" i="17" s="1"/>
  <c r="H48" i="17" s="1"/>
  <c r="B52" i="17"/>
  <c r="K40" i="108"/>
  <c r="B45" i="108"/>
  <c r="K45" i="108" s="1"/>
  <c r="E58" i="16" s="1"/>
  <c r="I45" i="106"/>
  <c r="K40" i="106"/>
  <c r="E45" i="107"/>
  <c r="K40" i="107"/>
  <c r="K40" i="105"/>
  <c r="I45" i="105"/>
  <c r="D41" i="12"/>
  <c r="D45" i="12"/>
  <c r="C54" i="9"/>
  <c r="P36" i="8"/>
  <c r="B9" i="10"/>
  <c r="I40" i="17"/>
  <c r="K38" i="17"/>
  <c r="B52" i="106"/>
  <c r="B47" i="106"/>
  <c r="B48" i="106" s="1"/>
  <c r="C48" i="106" s="1"/>
  <c r="D48" i="106" s="1"/>
  <c r="E48" i="106" s="1"/>
  <c r="F48" i="106" s="1"/>
  <c r="G48" i="106" s="1"/>
  <c r="H48" i="106" s="1"/>
  <c r="H47" i="12"/>
  <c r="B47" i="110"/>
  <c r="B48" i="110" s="1"/>
  <c r="B52" i="110"/>
  <c r="B47" i="107"/>
  <c r="B48" i="107" s="1"/>
  <c r="C48" i="107" s="1"/>
  <c r="D48" i="107" s="1"/>
  <c r="B52" i="107"/>
  <c r="F45" i="9"/>
  <c r="H34" i="9"/>
  <c r="H35" i="9"/>
  <c r="I33" i="9"/>
  <c r="H45" i="104"/>
  <c r="K40" i="104"/>
  <c r="G51" i="9"/>
  <c r="G43" i="9"/>
  <c r="G38" i="9"/>
  <c r="C14" i="14" l="1"/>
  <c r="C36" i="14" s="1"/>
  <c r="C52" i="105"/>
  <c r="W64" i="8"/>
  <c r="W65" i="8" s="1"/>
  <c r="I31" i="8"/>
  <c r="I32" i="8" s="1"/>
  <c r="D28" i="16" s="1"/>
  <c r="E28" i="16" s="1"/>
  <c r="C52" i="104"/>
  <c r="C12" i="14"/>
  <c r="C35" i="14" s="1"/>
  <c r="C47" i="110"/>
  <c r="C48" i="110" s="1"/>
  <c r="D48" i="110" s="1"/>
  <c r="E48" i="110" s="1"/>
  <c r="F48" i="110" s="1"/>
  <c r="G48" i="110" s="1"/>
  <c r="H48" i="110" s="1"/>
  <c r="I48" i="110" s="1"/>
  <c r="J48" i="110" s="1"/>
  <c r="K45" i="110"/>
  <c r="E60" i="16" s="1"/>
  <c r="C6" i="14"/>
  <c r="C32" i="14" s="1"/>
  <c r="C52" i="12"/>
  <c r="C52" i="103"/>
  <c r="C10" i="14"/>
  <c r="C34" i="14" s="1"/>
  <c r="B52" i="109"/>
  <c r="B47" i="109"/>
  <c r="B48" i="109" s="1"/>
  <c r="C48" i="109" s="1"/>
  <c r="D48" i="109" s="1"/>
  <c r="E48" i="109" s="1"/>
  <c r="F48" i="109" s="1"/>
  <c r="G48" i="109" s="1"/>
  <c r="H48" i="109" s="1"/>
  <c r="I48" i="109" s="1"/>
  <c r="J48" i="109" s="1"/>
  <c r="K45" i="109"/>
  <c r="E59" i="16" s="1"/>
  <c r="C52" i="17"/>
  <c r="C8" i="14"/>
  <c r="C33" i="14" s="1"/>
  <c r="B47" i="108"/>
  <c r="B48" i="108" s="1"/>
  <c r="C48" i="108" s="1"/>
  <c r="D48" i="108" s="1"/>
  <c r="E48" i="108" s="1"/>
  <c r="F48" i="108" s="1"/>
  <c r="G48" i="108" s="1"/>
  <c r="H48" i="108" s="1"/>
  <c r="I48" i="108" s="1"/>
  <c r="J48" i="108" s="1"/>
  <c r="B52" i="108"/>
  <c r="I47" i="106"/>
  <c r="I48" i="106" s="1"/>
  <c r="J48" i="106" s="1"/>
  <c r="K45" i="106"/>
  <c r="E56" i="16" s="1"/>
  <c r="E47" i="107"/>
  <c r="E48" i="107" s="1"/>
  <c r="F48" i="107" s="1"/>
  <c r="G48" i="107" s="1"/>
  <c r="H48" i="107" s="1"/>
  <c r="I48" i="107" s="1"/>
  <c r="J48" i="107" s="1"/>
  <c r="K45" i="107"/>
  <c r="E57" i="16" s="1"/>
  <c r="I47" i="105"/>
  <c r="I48" i="105" s="1"/>
  <c r="J48" i="105" s="1"/>
  <c r="K45" i="105"/>
  <c r="E55" i="16" s="1"/>
  <c r="D47" i="12"/>
  <c r="D48" i="12" s="1"/>
  <c r="E48" i="12" s="1"/>
  <c r="F48" i="12" s="1"/>
  <c r="G48" i="12" s="1"/>
  <c r="H48" i="12" s="1"/>
  <c r="I48" i="12" s="1"/>
  <c r="J48" i="12" s="1"/>
  <c r="K45" i="12"/>
  <c r="E51" i="16" s="1"/>
  <c r="I34" i="9"/>
  <c r="I35" i="9"/>
  <c r="I45" i="17"/>
  <c r="K40" i="17"/>
  <c r="H37" i="9"/>
  <c r="G44" i="9"/>
  <c r="F46" i="9"/>
  <c r="C52" i="110"/>
  <c r="C24" i="14"/>
  <c r="C41" i="14" s="1"/>
  <c r="G52" i="9"/>
  <c r="Q36" i="8"/>
  <c r="D54" i="9"/>
  <c r="C52" i="107"/>
  <c r="C18" i="14"/>
  <c r="C38" i="14" s="1"/>
  <c r="H47" i="104"/>
  <c r="H48" i="104" s="1"/>
  <c r="I48" i="104" s="1"/>
  <c r="J48" i="104" s="1"/>
  <c r="K45" i="104"/>
  <c r="E54" i="16" s="1"/>
  <c r="C52" i="106"/>
  <c r="C16" i="14"/>
  <c r="C37" i="14" s="1"/>
  <c r="D52" i="105" l="1"/>
  <c r="D14" i="14"/>
  <c r="D36" i="14" s="1"/>
  <c r="D52" i="104"/>
  <c r="D12" i="14"/>
  <c r="D35" i="14" s="1"/>
  <c r="C52" i="109"/>
  <c r="C22" i="14"/>
  <c r="C40" i="14" s="1"/>
  <c r="D6" i="14"/>
  <c r="D32" i="14" s="1"/>
  <c r="D52" i="12"/>
  <c r="D10" i="14"/>
  <c r="D34" i="14" s="1"/>
  <c r="D52" i="103"/>
  <c r="D52" i="17"/>
  <c r="D8" i="14"/>
  <c r="D33" i="14" s="1"/>
  <c r="C52" i="108"/>
  <c r="C20" i="14"/>
  <c r="I37" i="9"/>
  <c r="K35" i="9"/>
  <c r="H51" i="9"/>
  <c r="H43" i="9"/>
  <c r="H38" i="9"/>
  <c r="D52" i="110"/>
  <c r="D24" i="14"/>
  <c r="D41" i="14" s="1"/>
  <c r="F9" i="10"/>
  <c r="I47" i="17"/>
  <c r="I48" i="17" s="1"/>
  <c r="J48" i="17" s="1"/>
  <c r="K45" i="17"/>
  <c r="D52" i="107"/>
  <c r="D18" i="14"/>
  <c r="D38" i="14" s="1"/>
  <c r="D52" i="106"/>
  <c r="D16" i="14"/>
  <c r="D37" i="14" s="1"/>
  <c r="G45" i="9"/>
  <c r="G46" i="9" s="1"/>
  <c r="R36" i="8"/>
  <c r="E54" i="9"/>
  <c r="E52" i="105" l="1"/>
  <c r="E14" i="14"/>
  <c r="E36" i="14" s="1"/>
  <c r="D27" i="16"/>
  <c r="E27" i="16" s="1"/>
  <c r="I38" i="9"/>
  <c r="E12" i="14"/>
  <c r="E35" i="14" s="1"/>
  <c r="E52" i="104"/>
  <c r="D52" i="109"/>
  <c r="D22" i="14"/>
  <c r="D40" i="14" s="1"/>
  <c r="E52" i="17"/>
  <c r="E8" i="14"/>
  <c r="E33" i="14" s="1"/>
  <c r="D52" i="108"/>
  <c r="D20" i="14"/>
  <c r="E6" i="14"/>
  <c r="E32" i="14" s="1"/>
  <c r="E52" i="12"/>
  <c r="E10" i="14"/>
  <c r="E34" i="14" s="1"/>
  <c r="E52" i="103"/>
  <c r="C39" i="14"/>
  <c r="C26" i="14"/>
  <c r="K37" i="9"/>
  <c r="I51" i="9"/>
  <c r="I43" i="9"/>
  <c r="G9" i="10"/>
  <c r="E52" i="107"/>
  <c r="E18" i="14"/>
  <c r="E38" i="14" s="1"/>
  <c r="E52" i="16"/>
  <c r="D22" i="16"/>
  <c r="E22" i="16" s="1"/>
  <c r="E52" i="106"/>
  <c r="E16" i="14"/>
  <c r="E37" i="14" s="1"/>
  <c r="F54" i="9"/>
  <c r="S36" i="8"/>
  <c r="E52" i="110"/>
  <c r="E24" i="14"/>
  <c r="E41" i="14" s="1"/>
  <c r="H44" i="9"/>
  <c r="H52" i="9"/>
  <c r="F52" i="105" l="1"/>
  <c r="F14" i="14"/>
  <c r="F36" i="14" s="1"/>
  <c r="F52" i="104"/>
  <c r="F12" i="14"/>
  <c r="F35" i="14" s="1"/>
  <c r="E52" i="109"/>
  <c r="E22" i="14"/>
  <c r="E40" i="14" s="1"/>
  <c r="F52" i="17"/>
  <c r="F8" i="14"/>
  <c r="F33" i="14" s="1"/>
  <c r="E52" i="108"/>
  <c r="E20" i="14"/>
  <c r="D39" i="14"/>
  <c r="D26" i="14"/>
  <c r="F52" i="12"/>
  <c r="F6" i="14"/>
  <c r="F32" i="14" s="1"/>
  <c r="F10" i="14"/>
  <c r="F34" i="14" s="1"/>
  <c r="F52" i="103"/>
  <c r="I52" i="9"/>
  <c r="K52" i="9" s="1"/>
  <c r="K51" i="9"/>
  <c r="I44" i="9"/>
  <c r="K43" i="9"/>
  <c r="F52" i="110"/>
  <c r="F24" i="14"/>
  <c r="F41" i="14" s="1"/>
  <c r="H45" i="9"/>
  <c r="F52" i="107"/>
  <c r="F18" i="14"/>
  <c r="F38" i="14" s="1"/>
  <c r="F52" i="106"/>
  <c r="F16" i="14"/>
  <c r="F37" i="14" s="1"/>
  <c r="G54" i="9"/>
  <c r="T36" i="8"/>
  <c r="G14" i="14" l="1"/>
  <c r="G36" i="14" s="1"/>
  <c r="G52" i="105"/>
  <c r="G52" i="104"/>
  <c r="G12" i="14"/>
  <c r="G35" i="14" s="1"/>
  <c r="F52" i="108"/>
  <c r="F20" i="14"/>
  <c r="F39" i="14" s="1"/>
  <c r="F52" i="109"/>
  <c r="F22" i="14"/>
  <c r="G52" i="17"/>
  <c r="G8" i="14"/>
  <c r="G33" i="14" s="1"/>
  <c r="E39" i="14"/>
  <c r="E26" i="14"/>
  <c r="G52" i="12"/>
  <c r="G6" i="14"/>
  <c r="G32" i="14" s="1"/>
  <c r="G10" i="14"/>
  <c r="G34" i="14" s="1"/>
  <c r="G52" i="103"/>
  <c r="I45" i="9"/>
  <c r="K44" i="9"/>
  <c r="H46" i="9"/>
  <c r="H54" i="9"/>
  <c r="U36" i="8"/>
  <c r="G52" i="106"/>
  <c r="G16" i="14"/>
  <c r="G52" i="107"/>
  <c r="G18" i="14"/>
  <c r="G38" i="14" s="1"/>
  <c r="G52" i="110"/>
  <c r="G24" i="14"/>
  <c r="G41" i="14" s="1"/>
  <c r="H52" i="105" l="1"/>
  <c r="H14" i="14"/>
  <c r="H36" i="14" s="1"/>
  <c r="H52" i="104"/>
  <c r="H12" i="14"/>
  <c r="H35" i="14" s="1"/>
  <c r="G52" i="108"/>
  <c r="G20" i="14"/>
  <c r="G39" i="14" s="1"/>
  <c r="G52" i="109"/>
  <c r="G22" i="14"/>
  <c r="F40" i="14"/>
  <c r="F26" i="14"/>
  <c r="H52" i="17"/>
  <c r="H8" i="14"/>
  <c r="H33" i="14" s="1"/>
  <c r="H6" i="14"/>
  <c r="H32" i="14" s="1"/>
  <c r="H52" i="12"/>
  <c r="H52" i="103"/>
  <c r="H10" i="14"/>
  <c r="H34" i="14" s="1"/>
  <c r="I46" i="9"/>
  <c r="K45" i="9"/>
  <c r="H9" i="10"/>
  <c r="H52" i="106"/>
  <c r="H16" i="14"/>
  <c r="V36" i="8"/>
  <c r="I54" i="9"/>
  <c r="D26" i="16" s="1"/>
  <c r="E26" i="16" s="1"/>
  <c r="G37" i="14"/>
  <c r="H52" i="110"/>
  <c r="H24" i="14"/>
  <c r="H41" i="14" s="1"/>
  <c r="H52" i="107"/>
  <c r="H18" i="14"/>
  <c r="H38" i="14" s="1"/>
  <c r="I52" i="105" l="1"/>
  <c r="I14" i="14"/>
  <c r="I36" i="14" s="1"/>
  <c r="I52" i="104"/>
  <c r="I12" i="14"/>
  <c r="I35" i="14" s="1"/>
  <c r="H20" i="14"/>
  <c r="H39" i="14" s="1"/>
  <c r="H52" i="108"/>
  <c r="G40" i="14"/>
  <c r="G26" i="14"/>
  <c r="I52" i="17"/>
  <c r="I8" i="14"/>
  <c r="I33" i="14" s="1"/>
  <c r="H52" i="109"/>
  <c r="H22" i="14"/>
  <c r="I9" i="10"/>
  <c r="K9" i="10" s="1"/>
  <c r="K46" i="9"/>
  <c r="D18" i="16" s="1"/>
  <c r="E18" i="16" s="1"/>
  <c r="I6" i="14"/>
  <c r="I32" i="14" s="1"/>
  <c r="I52" i="12"/>
  <c r="I10" i="14"/>
  <c r="I34" i="14" s="1"/>
  <c r="I52" i="103"/>
  <c r="I52" i="110"/>
  <c r="I24" i="14"/>
  <c r="I41" i="14" s="1"/>
  <c r="W36" i="8"/>
  <c r="J54" i="9"/>
  <c r="I52" i="107"/>
  <c r="I18" i="14"/>
  <c r="I38" i="14" s="1"/>
  <c r="H37" i="14"/>
  <c r="I52" i="106"/>
  <c r="I16" i="14"/>
  <c r="I37" i="14" s="1"/>
  <c r="J14" i="14" l="1"/>
  <c r="J36" i="14" s="1"/>
  <c r="J52" i="105"/>
  <c r="J52" i="104"/>
  <c r="J12" i="14"/>
  <c r="J35" i="14" s="1"/>
  <c r="I52" i="108"/>
  <c r="I20" i="14"/>
  <c r="I39" i="14" s="1"/>
  <c r="J8" i="14"/>
  <c r="J33" i="14" s="1"/>
  <c r="J52" i="17"/>
  <c r="I52" i="109"/>
  <c r="I22" i="14"/>
  <c r="H40" i="14"/>
  <c r="H26" i="14"/>
  <c r="J6" i="14"/>
  <c r="J32" i="14" s="1"/>
  <c r="J52" i="12"/>
  <c r="J10" i="14"/>
  <c r="J34" i="14" s="1"/>
  <c r="J52" i="103"/>
  <c r="D19" i="16"/>
  <c r="E19" i="16" s="1"/>
  <c r="D36" i="16"/>
  <c r="J52" i="107"/>
  <c r="J18" i="14"/>
  <c r="J38" i="14" s="1"/>
  <c r="J52" i="110"/>
  <c r="J24" i="14"/>
  <c r="J41" i="14" s="1"/>
  <c r="J52" i="106"/>
  <c r="J16" i="14"/>
  <c r="J37" i="14" s="1"/>
  <c r="X36" i="8"/>
  <c r="D34" i="16" s="1"/>
  <c r="D35" i="16"/>
  <c r="K14" i="14" l="1"/>
  <c r="K36" i="14" s="1"/>
  <c r="D42" i="16"/>
  <c r="J52" i="108"/>
  <c r="J20" i="14"/>
  <c r="J39" i="14" s="1"/>
  <c r="K12" i="14"/>
  <c r="K35" i="14" s="1"/>
  <c r="D41" i="16"/>
  <c r="I40" i="14"/>
  <c r="I26" i="14"/>
  <c r="K8" i="14"/>
  <c r="K33" i="14" s="1"/>
  <c r="D39" i="16"/>
  <c r="J52" i="109"/>
  <c r="J22" i="14"/>
  <c r="E36" i="16"/>
  <c r="F36" i="16"/>
  <c r="D38" i="16"/>
  <c r="K6" i="14"/>
  <c r="K32" i="14" s="1"/>
  <c r="D40" i="16"/>
  <c r="K10" i="14"/>
  <c r="K34" i="14" s="1"/>
  <c r="E35" i="16"/>
  <c r="F35" i="16"/>
  <c r="F34" i="16"/>
  <c r="E34" i="16"/>
  <c r="K24" i="14"/>
  <c r="K41" i="14" s="1"/>
  <c r="D47" i="16"/>
  <c r="K16" i="14"/>
  <c r="K37" i="14" s="1"/>
  <c r="D43" i="16"/>
  <c r="K18" i="14"/>
  <c r="K38" i="14" s="1"/>
  <c r="D44" i="16"/>
  <c r="F42" i="16" l="1"/>
  <c r="E42" i="16"/>
  <c r="K20" i="14"/>
  <c r="K39" i="14" s="1"/>
  <c r="D45" i="16"/>
  <c r="F41" i="16"/>
  <c r="E41" i="16"/>
  <c r="E39" i="16"/>
  <c r="F39" i="16"/>
  <c r="K22" i="14"/>
  <c r="D46" i="16"/>
  <c r="J40" i="14"/>
  <c r="J26" i="14"/>
  <c r="E38" i="16"/>
  <c r="F38" i="16"/>
  <c r="E40" i="16"/>
  <c r="F40" i="16"/>
  <c r="F44" i="16"/>
  <c r="E44" i="16"/>
  <c r="E43" i="16"/>
  <c r="F43" i="16"/>
  <c r="E47" i="16"/>
  <c r="F47" i="16"/>
  <c r="E45" i="16" l="1"/>
  <c r="F45" i="16"/>
  <c r="K40" i="14"/>
  <c r="K26" i="14"/>
  <c r="F46" i="16"/>
  <c r="E46" i="16"/>
  <c r="D37" i="16" l="1"/>
  <c r="D29" i="16" l="1"/>
  <c r="E29" i="16" s="1"/>
  <c r="B3" i="16" s="1"/>
  <c r="B3" i="7" s="1"/>
  <c r="F37" i="16"/>
  <c r="E37"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Ecke Katja</author>
  </authors>
  <commentList>
    <comment ref="D15" authorId="0" shapeId="0" xr:uid="{B50D8AFF-B6CD-410A-BDA7-5F3BEFE2CAC8}">
      <text>
        <r>
          <rPr>
            <sz val="11"/>
            <color indexed="53"/>
            <rFont val="Aptos Narrow"/>
            <family val="2"/>
            <scheme val="minor"/>
          </rPr>
          <t xml:space="preserve">
</t>
        </r>
        <r>
          <rPr>
            <b/>
            <sz val="11"/>
            <color indexed="53"/>
            <rFont val="Aptos Narrow"/>
            <family val="2"/>
            <scheme val="minor"/>
          </rPr>
          <t>Enter total of all EU contribution in this cell.</t>
        </r>
        <r>
          <rPr>
            <sz val="9"/>
            <color indexed="81"/>
            <rFont val="Tahoma"/>
            <family val="2"/>
          </rPr>
          <t xml:space="preserve">
</t>
        </r>
      </text>
    </comment>
    <comment ref="D16" authorId="0" shapeId="0" xr:uid="{803423E4-23CD-4742-AC9C-E92A2EE723C7}">
      <text>
        <r>
          <rPr>
            <b/>
            <sz val="12"/>
            <color indexed="53"/>
            <rFont val="Aptos Narrow"/>
            <family val="2"/>
            <scheme val="minor"/>
          </rPr>
          <t>Choose co-financing rate 
(80% or 85%)</t>
        </r>
      </text>
    </comment>
    <comment ref="E19" authorId="0" shapeId="0" xr:uid="{07E82133-CDBE-4A79-BB05-93E8F5ABD871}">
      <text>
        <r>
          <rPr>
            <b/>
            <sz val="12"/>
            <color indexed="53"/>
            <rFont val="Aptos Narrow"/>
            <family val="2"/>
            <scheme val="minor"/>
          </rPr>
          <t xml:space="preserve">
Choose applicable TA rate (8% or 10%)</t>
        </r>
      </text>
    </comment>
    <comment ref="B27" authorId="0" shapeId="0" xr:uid="{2E4A27B4-4301-40D7-A316-FD650260E9BC}">
      <text>
        <r>
          <rPr>
            <b/>
            <sz val="9"/>
            <color indexed="81"/>
            <rFont val="Tahoma"/>
            <family val="2"/>
          </rPr>
          <t xml:space="preserve">
</t>
        </r>
        <r>
          <rPr>
            <b/>
            <sz val="12"/>
            <color indexed="53"/>
            <rFont val="Aptos Narrow"/>
            <family val="2"/>
            <scheme val="minor"/>
          </rPr>
          <t>Enter the measure name</t>
        </r>
        <r>
          <rPr>
            <sz val="9"/>
            <color indexed="81"/>
            <rFont val="Tahoma"/>
            <family val="2"/>
          </rPr>
          <t xml:space="preserve">
</t>
        </r>
      </text>
    </comment>
    <comment ref="C27" authorId="0" shapeId="0" xr:uid="{31544A90-4406-4F2D-A0B9-191C4EFB898C}">
      <text>
        <r>
          <rPr>
            <b/>
            <sz val="12"/>
            <color indexed="53"/>
            <rFont val="Aptos Narrow"/>
            <family val="2"/>
            <scheme val="minor"/>
          </rPr>
          <t>Enter the % of the total EU contribution allocated to this measure</t>
        </r>
        <r>
          <rPr>
            <sz val="9"/>
            <color indexed="81"/>
            <rFont val="Tahoma"/>
            <family val="2"/>
          </rPr>
          <t xml:space="preserve">
</t>
        </r>
      </text>
    </comment>
    <comment ref="A44" authorId="0" shapeId="0" xr:uid="{AF85DC8F-0E01-4CB9-AA7E-EF3581709D73}">
      <text>
        <r>
          <rPr>
            <sz val="9"/>
            <color indexed="81"/>
            <rFont val="Tahoma"/>
            <family val="2"/>
          </rPr>
          <t xml:space="preserve">
</t>
        </r>
        <r>
          <rPr>
            <b/>
            <sz val="12"/>
            <color indexed="53"/>
            <rFont val="Aptos Narrow"/>
            <family val="2"/>
            <scheme val="minor"/>
          </rPr>
          <t>Choose if milestone or target.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Erkko Sanna (ELY)</author>
    <author>tc={D51650E6-119F-4CF9-B73C-51921B92A9DC}</author>
    <author>tc={82EA4D80-DE92-4923-85BA-1DD88ADC6074}</author>
  </authors>
  <commentList>
    <comment ref="A15" authorId="0" shapeId="0" xr:uid="{F5DC6C68-302E-41F6-9D00-66C2B97D2A12}">
      <text>
        <r>
          <rPr>
            <b/>
            <sz val="9"/>
            <color indexed="81"/>
            <rFont val="Tahoma"/>
            <charset val="1"/>
          </rPr>
          <t>this can be edited by programmes, the current 4+4+4 is a starting point</t>
        </r>
        <r>
          <rPr>
            <sz val="9"/>
            <color indexed="81"/>
            <rFont val="Tahoma"/>
            <charset val="1"/>
          </rPr>
          <t xml:space="preserve">
</t>
        </r>
      </text>
    </comment>
    <comment ref="A26" authorId="1" shapeId="0" xr:uid="{D51650E6-119F-4CF9-B73C-51921B92A9DC}">
      <text>
        <t>[Threaded comment]
Your version of Excel allows you to read this threaded comment; however, any edits to it will get removed if the file is opened in a newer version of Excel. Learn more: https://go.microsoft.com/fwlink/?linkid=870924
Comment:
    Calculated amounts where clearing of pre-financing and 95 % ceiling are not included</t>
      </text>
    </comment>
    <comment ref="A27" authorId="2" shapeId="0" xr:uid="{82EA4D80-DE92-4923-85BA-1DD88ADC6074}">
      <text>
        <t xml:space="preserve">[Threaded comment]
Your version of Excel allows you to read this threaded comment; however, any edits to it will get removed if the file is opened in a newer version of Excel. Learn more: https://go.microsoft.com/fwlink/?linkid=870924
Comment:
    Calculated amounts where clearing of pre-financing and 95 % ceiling are not included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Erkko Sanna (ELY)</author>
  </authors>
  <commentList>
    <comment ref="K35" authorId="0" shapeId="0" xr:uid="{E317FE48-6891-423F-8EBE-A0E4673EFAC9}">
      <text>
        <r>
          <rPr>
            <b/>
            <sz val="9"/>
            <color indexed="81"/>
            <rFont val="Tahoma"/>
            <charset val="1"/>
          </rPr>
          <t>clearance of pre-financing AND impact of 95% ceiling</t>
        </r>
        <r>
          <rPr>
            <sz val="9"/>
            <color indexed="81"/>
            <rFont val="Tahoma"/>
            <charset val="1"/>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Erkko Sanna (ELY)</author>
  </authors>
  <commentList>
    <comment ref="C8" authorId="0" shapeId="0" xr:uid="{43D1CE37-4760-4FEA-B9DF-6DCDCA9297F5}">
      <text>
        <r>
          <rPr>
            <b/>
            <sz val="9"/>
            <color indexed="81"/>
            <rFont val="Tahoma"/>
            <charset val="1"/>
          </rPr>
          <t>if proportionally split between measures</t>
        </r>
        <r>
          <rPr>
            <sz val="9"/>
            <color indexed="81"/>
            <rFont val="Tahoma"/>
            <charset val="1"/>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Erkko Sanna (ELY)</author>
  </authors>
  <commentList>
    <comment ref="C8" authorId="0" shapeId="0" xr:uid="{1E00D6B3-95A9-4616-9EB8-819479464030}">
      <text>
        <r>
          <rPr>
            <b/>
            <sz val="9"/>
            <color indexed="81"/>
            <rFont val="Tahoma"/>
            <charset val="1"/>
          </rPr>
          <t>if proportionally split between measures</t>
        </r>
        <r>
          <rPr>
            <sz val="9"/>
            <color indexed="81"/>
            <rFont val="Tahoma"/>
            <charset val="1"/>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Erkko Sanna (ELY)</author>
  </authors>
  <commentList>
    <comment ref="C8" authorId="0" shapeId="0" xr:uid="{CAC00F97-FFD4-4820-8225-7D201056F360}">
      <text>
        <r>
          <rPr>
            <b/>
            <sz val="9"/>
            <color indexed="81"/>
            <rFont val="Tahoma"/>
            <charset val="1"/>
          </rPr>
          <t>if proportionally split between measures</t>
        </r>
        <r>
          <rPr>
            <sz val="9"/>
            <color indexed="81"/>
            <rFont val="Tahoma"/>
            <charset val="1"/>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Erkko Sanna (ELY)</author>
  </authors>
  <commentList>
    <comment ref="C8" authorId="0" shapeId="0" xr:uid="{9F68CAFB-1461-4862-B75B-BD7176BD1CF7}">
      <text>
        <r>
          <rPr>
            <b/>
            <sz val="9"/>
            <color indexed="81"/>
            <rFont val="Tahoma"/>
            <charset val="1"/>
          </rPr>
          <t>if proportionally split between measures</t>
        </r>
        <r>
          <rPr>
            <sz val="9"/>
            <color indexed="81"/>
            <rFont val="Tahoma"/>
            <charset val="1"/>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Erkko Sanna (ELY)</author>
  </authors>
  <commentList>
    <comment ref="C8" authorId="0" shapeId="0" xr:uid="{1A4E5C11-CC1C-4F16-9020-964510B0F1EC}">
      <text>
        <r>
          <rPr>
            <b/>
            <sz val="9"/>
            <color indexed="81"/>
            <rFont val="Tahoma"/>
            <charset val="1"/>
          </rPr>
          <t>if proportionally split between measures</t>
        </r>
        <r>
          <rPr>
            <sz val="9"/>
            <color indexed="81"/>
            <rFont val="Tahoma"/>
            <charset val="1"/>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Erkko Sanna (ELY)</author>
  </authors>
  <commentList>
    <comment ref="C8" authorId="0" shapeId="0" xr:uid="{1B7469C6-534C-4738-9677-89F48D76CD34}">
      <text>
        <r>
          <rPr>
            <b/>
            <sz val="9"/>
            <color indexed="81"/>
            <rFont val="Tahoma"/>
            <charset val="1"/>
          </rPr>
          <t>if proportionally split between measures</t>
        </r>
        <r>
          <rPr>
            <sz val="9"/>
            <color indexed="81"/>
            <rFont val="Tahoma"/>
            <charset val="1"/>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Erkko Sanna (ELY)</author>
  </authors>
  <commentList>
    <comment ref="C8" authorId="0" shapeId="0" xr:uid="{08ED5BCF-58F5-488A-AAE9-270A93622A7E}">
      <text>
        <r>
          <rPr>
            <b/>
            <sz val="9"/>
            <color indexed="81"/>
            <rFont val="Tahoma"/>
            <charset val="1"/>
          </rPr>
          <t>if proportionally split between measures</t>
        </r>
        <r>
          <rPr>
            <sz val="9"/>
            <color indexed="81"/>
            <rFont val="Tahoma"/>
            <charset val="1"/>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Erkko Sanna (ELY)</author>
  </authors>
  <commentList>
    <comment ref="C8" authorId="0" shapeId="0" xr:uid="{7CD1FD2D-B755-4774-AF0E-E624AEA7ACDA}">
      <text>
        <r>
          <rPr>
            <b/>
            <sz val="9"/>
            <color indexed="81"/>
            <rFont val="Tahoma"/>
            <charset val="1"/>
          </rPr>
          <t>if proportionally split between measures</t>
        </r>
        <r>
          <rPr>
            <sz val="9"/>
            <color indexed="81"/>
            <rFont val="Tahoma"/>
            <charset val="1"/>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Erkko Sanna (ELY)</author>
  </authors>
  <commentList>
    <comment ref="C8" authorId="0" shapeId="0" xr:uid="{05D1E078-CD0A-4BFE-9B08-AC644D2B736F}">
      <text>
        <r>
          <rPr>
            <b/>
            <sz val="9"/>
            <color indexed="81"/>
            <rFont val="Tahoma"/>
            <charset val="1"/>
          </rPr>
          <t>if proportionally split between measures</t>
        </r>
        <r>
          <rPr>
            <sz val="9"/>
            <color indexed="81"/>
            <rFont val="Tahoma"/>
            <charset val="1"/>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Erkko Sanna (ELY)</author>
  </authors>
  <commentList>
    <comment ref="C8" authorId="0" shapeId="0" xr:uid="{43767FEF-CBA1-474F-90B0-D758B0D05778}">
      <text>
        <r>
          <rPr>
            <b/>
            <sz val="9"/>
            <color indexed="81"/>
            <rFont val="Tahoma"/>
            <charset val="1"/>
          </rPr>
          <t>if proportionally split between measures</t>
        </r>
        <r>
          <rPr>
            <sz val="9"/>
            <color indexed="81"/>
            <rFont val="Tahoma"/>
            <charset val="1"/>
          </rPr>
          <t xml:space="preserve">
</t>
        </r>
      </text>
    </comment>
  </commentList>
</comments>
</file>

<file path=xl/sharedStrings.xml><?xml version="1.0" encoding="utf-8"?>
<sst xmlns="http://schemas.openxmlformats.org/spreadsheetml/2006/main" count="1955" uniqueCount="458">
  <si>
    <t>Interreg chapter budget planning calculator: guide</t>
  </si>
  <si>
    <t>1. Purpose and limits</t>
  </si>
  <si>
    <t>Purpose</t>
  </si>
  <si>
    <t>Payout values, not costs</t>
  </si>
  <si>
    <t>The tool works on payout values. It does not cost activities. Total estimated cost per measure is established as % and the co-financing rate and is shown for information.</t>
  </si>
  <si>
    <t>Status of the rules</t>
  </si>
  <si>
    <t>Planning figures only. They do not replace the programme documents, the act approving the chapter or any decision of the Commission. Several parameters rest on draft or bracketed text (pre-financing, the 95% ceiling, the N+1 test, the commitment profile). They are inputs or calculator conventions and are marked as such on the Checks sheet. Publisher, copyright and disclaimer: see section 7 at the end of this sheet.</t>
  </si>
  <si>
    <t>2. Colours</t>
  </si>
  <si>
    <t>White</t>
  </si>
  <si>
    <t>Cell to be filled in by the programme.</t>
  </si>
  <si>
    <t>Green</t>
  </si>
  <si>
    <t>Cell with a dropdown list. Choose a value from the list.</t>
  </si>
  <si>
    <t>Grey</t>
  </si>
  <si>
    <t>Calculated cell. Do not overwrite.</t>
  </si>
  <si>
    <t>Blue</t>
  </si>
  <si>
    <t>Header or label.</t>
  </si>
  <si>
    <t>Guidance in the cells</t>
  </si>
  <si>
    <t>Click on a white or green input cell. A short message explains what to enter. Wrong entries (for example a percentage above 100%) are refused.</t>
  </si>
  <si>
    <t>3. How to use: order of work</t>
  </si>
  <si>
    <t>Step 1</t>
  </si>
  <si>
    <t>On payout values, choose the co-financing rate ceiling (D16: 80% or 85%) and the TA rate (E19: 8%, or 10% for the cases named in Art.13(2) NRPP). Enter the Union contribution (D15). TA is paid on top: the amount available for payout values is the contribution divided by (1 + TA rate).</t>
  </si>
  <si>
    <t>Step 2</t>
  </si>
  <si>
    <t>Enter the measures (B27:B36) and the share of the measure as % of the total payout values (C27:C36). The shares of all measures must add up to 100% (C37). The EU contribution (D), the estimated total cost (E) and the national contribution (G) of each measure are calculated.</t>
  </si>
  <si>
    <t>Step 3</t>
  </si>
  <si>
    <t>Optional: enter a co-financing rate per measure (F27:F36). Empty means the chapter rate. Measures may differ, but the weighted rate of all measures (F37) may not exceed the ceiling in D16. The check in F38 reports the result. Optional: enter the indicative public and private part of the national contribution (H27:I36). It is needed for the chapter template, not for the financial flows. Together they should equal column G (Checks A1.9).</t>
  </si>
  <si>
    <t>Step 4</t>
  </si>
  <si>
    <t>For each measure, below row 42, enter milestones and targets: type, name, the share of the payout value of the measure (column D), year and quarter. The shares of one measure must add up to 100% (shown under each table). The year decides in which payment application the payout value and its TA are counted.</t>
  </si>
  <si>
    <t>Step 5</t>
  </si>
  <si>
    <t xml:space="preserve">On N+1,  it is possible to enter the annual commitments (row 13) and the pre-financing tranches (row 15). The starting values are based on information as of November 2026. Examples: 4% + 4% + 4% pre-financing in 2028 to 2030 and an illustrative commitment profile. </t>
  </si>
  <si>
    <t>Step 6</t>
  </si>
  <si>
    <t>On Inflows, review the payment ceiling (C22, default 95%). The sheet shows payment applications, the clearing of pre-financing, the effect of the ceiling, the payment after closure and the resulting inflows from the Commission.</t>
  </si>
  <si>
    <t>Step 7</t>
  </si>
  <si>
    <t>Open the Checks sheet. The status cell (B3, repeated in cell B3 of pay out values) must read "All checks passed". Resolve every CHECK before using the figures.</t>
  </si>
  <si>
    <t>4. What each sheet does</t>
  </si>
  <si>
    <t>Checks</t>
  </si>
  <si>
    <t>Control sheet: input completeness, reconciliations, rule tests, error scan.</t>
  </si>
  <si>
    <t>pay out values</t>
  </si>
  <si>
    <t>Main input sheet. Financial frame, measures with their share of the total, EU contribution, estimated total cost and co-financing rate, milestones and targets with timing. Annual totals of payout values and TA in rows 6 to 10.</t>
  </si>
  <si>
    <t>N+1</t>
  </si>
  <si>
    <t>Commitments, pre-financing and the decommitment target by year, compared with the cumulative payment applications (N+1 check in row 32).</t>
  </si>
  <si>
    <t>Inflows</t>
  </si>
  <si>
    <t>Calculation of the payments from the Commission, including the 95% ceiling and the payment after closure. Charts at the right.</t>
  </si>
  <si>
    <t>TA</t>
  </si>
  <si>
    <t>Technical assistance generated by the payment applications and actually received.</t>
  </si>
  <si>
    <t>Measure 1 to 10 project payments</t>
  </si>
  <si>
    <t>One sheet per measure (Measure 1 to Measure 10): payments to projects (outflows) against inflows from the Commission, and the resulting balance. Payments to projects are entered in P24:X29 (white cells) of each sheet; the mini calculator on the right shows how payments to projects can be derived. The measure, its EU contribution and its allocation are taken from pay out values (B27:D36); the payment applications of the measure from its block in pay out values. Measures without allocation stay at zero.</t>
  </si>
  <si>
    <t>Summary project payments</t>
  </si>
  <si>
    <t>Cumulative inflows and payments to projects per measure and in total (all ten measures), with three charts: total inflows against payments to projects, payments to projects by measure and inflows by measure.</t>
  </si>
  <si>
    <t>5. Reading the results</t>
  </si>
  <si>
    <t>Pre-financing</t>
  </si>
  <si>
    <t>Shown as paid in the years entered on N+1. Its clearing is not modelled year by year: the calculator reduces interim payments once pre-financing plus payments reach the ceiling, so that the total received before closure equals the ceiling. The texts differ on clearing (Art.17(3) NRPP: at the latest on receipt of the annual assurance package for the last year; EP amendment 109: annually). Explanation: in practice, pre-financing is cleared at closure at the latest, unless the cumulative payments reach the level of 83% (81% where the pre-financing is higher). The 83% is the 95% ceiling less 12% pre-financing; 81% is the 95% ceiling less 14% pre-financing (EP amendment 109). This is a practice, not text of the legislation. In the calculator, interim payments are reduced from that level, so that pre-financing and interim payments together do not exceed the ceiling.</t>
  </si>
  <si>
    <t>Payment ceiling and closure</t>
  </si>
  <si>
    <t xml:space="preserve">Pre-financing plus interim payments are capped at the ceiling (Art.65(7) NRPP: 95% in the Council wording). The remainder is shown as payment after closure. </t>
  </si>
  <si>
    <t>N+1 test</t>
  </si>
  <si>
    <t xml:space="preserve">A cumulative decommitment target is derived from the commitments, reduced by the pre-financing. The test compares it with the cumulative payment applications. Art.15(1) NRPP and the practice that pre-financing is added to the final target. </t>
  </si>
  <si>
    <t>Quarter</t>
  </si>
  <si>
    <t>The quarter is for information. Payments are booked in the year of the milestone or target, because payment applications are tied to 31 October (Art.65(4) NRPP).</t>
  </si>
  <si>
    <t>Co-financing rate</t>
  </si>
  <si>
    <t xml:space="preserve">A ceiling of 80% or 85% on the Union share is a choice of the programme. </t>
  </si>
  <si>
    <t>6. Common errors</t>
  </si>
  <si>
    <t>Entries</t>
  </si>
  <si>
    <t>Percentages must be entered as percentages (25% or 0.25, not 25). A milestone with a share but no year is lost from the annual totals (Checks A1.5 and A2.2). Shares per measure must add up to 100%.</t>
  </si>
  <si>
    <t>Overwriting</t>
  </si>
  <si>
    <t>Do not overwrite grey cells. If a formula is overwritten, the Checks sheet will normally show a difference.</t>
  </si>
  <si>
    <t>After changes</t>
  </si>
  <si>
    <t>After changing the ceiling, the TA rate or the pre-financing profile, review the Checks sheet again.</t>
  </si>
  <si>
    <t>Locating errors</t>
  </si>
  <si>
    <t>If check A4.1 reports errors, the error locator on the Checks sheet lists, per sheet, the number of cells with an error and the first cell concerned. Cells with an error value are also highlighted in red on the calculation sheets. Correct the input or restore the overwritten formula.</t>
  </si>
  <si>
    <t>7. Status of this tool, publisher and disclaimer</t>
  </si>
  <si>
    <t>Status of this tool</t>
  </si>
  <si>
    <t>This tool is a planning aid from Interact to support planning of Interreg Plan chapters budget. It is not legal advice or an official Commission template. The underlying legislative framework is still under negotiation and may change before final adoption, always verify against the current official texts. This tool is developed and copyrighted by Interact (in the legal entity of Bratislava Self-Governing Region).</t>
  </si>
  <si>
    <t>Publisher, disclaimer and copyright information</t>
  </si>
  <si>
    <t>Publisher</t>
  </si>
  <si>
    <t>Interact Programme</t>
  </si>
  <si>
    <t>Date updated</t>
  </si>
  <si>
    <t>Primary knowledge area</t>
  </si>
  <si>
    <t>Programming</t>
  </si>
  <si>
    <t>Authors</t>
  </si>
  <si>
    <t>Sanna Erkko, Katja Ecke</t>
  </si>
  <si>
    <t>Copyright</t>
  </si>
  <si>
    <t>Copyright © 2026 Interact Programme (implemented by the Bratislava Self-Governing Region).</t>
  </si>
  <si>
    <t>Permission to use</t>
  </si>
  <si>
    <t>Permission is granted to use this tool free of charge solely for the preparation and development of Interreg plan chapters. The tool may be copied and redistributed only in its complete and unmodified form and only if this copyright notice and disclaimer remain intact.</t>
  </si>
  <si>
    <t>Names, logos and emblem</t>
  </si>
  <si>
    <t>No rights are granted to use the Interact name, Interact logo, the European Union emblem, or any related trademarks, logos or visual identities. Any such use is subject to the applicable separate rules and prior authorisation where required.</t>
  </si>
  <si>
    <t>Purpose of the tool</t>
  </si>
  <si>
    <t>This tool is provided for information and planning purposes only. It does not constitute legal, financial, professional or other advice and does not represent an official template, position or guidance of the European Commission or any other European Union institution.</t>
  </si>
  <si>
    <t>Changes in the framework</t>
  </si>
  <si>
    <t>The legislative and regulatory framework relevant to Interreg programmes may change and may be subject to ongoing negotiations, amendments or interpretation. Users are solely responsible for verifying the accuracy, completeness and continued validity of any information, assumptions or outputs generated using this tool.</t>
  </si>
  <si>
    <t>No warranty</t>
  </si>
  <si>
    <t>The tool is provided "as is" and "as available", without any express or implied warranties, including, but not limited to, warranties of accuracy, completeness, reliability, merchantability, fitness for a particular purpose or non-infringement.</t>
  </si>
  <si>
    <t>Limitation of liability</t>
  </si>
  <si>
    <t>To the fullest extent permitted by applicable law, the Interact Programme, the Bratislava Self-Governing Region, and any persons involved in the development, maintenance or distribution of this tool shall not be liable for any direct, indirect, incidental, consequential, special or punitive damages, losses, costs or claims arising from or related to the use of, inability to use, or reliance upon this tool or its outputs.</t>
  </si>
  <si>
    <t>Latest version</t>
  </si>
  <si>
    <t>The latest version of this tool is available at: interact.eu.</t>
  </si>
  <si>
    <t>Model checks</t>
  </si>
  <si>
    <t>All checks recalculate with every change. OK: passed. CHECK: correct the input or the calculation before using the figures. INFO: for information, not counted as a failure. The basis column states where the rule comes from; bracketed or contested texts are marked.</t>
  </si>
  <si>
    <t>Status</t>
  </si>
  <si>
    <t>Tolerance (EUR)</t>
  </si>
  <si>
    <t>ID</t>
  </si>
  <si>
    <t>Check</t>
  </si>
  <si>
    <t>Rule applied</t>
  </si>
  <si>
    <t>Value or difference</t>
  </si>
  <si>
    <t>Result</t>
  </si>
  <si>
    <t>Basis and status of the rule</t>
  </si>
  <si>
    <t>Where to look</t>
  </si>
  <si>
    <t>A1.1</t>
  </si>
  <si>
    <t>Union contribution entered</t>
  </si>
  <si>
    <t>D15 on pay out values is above zero</t>
  </si>
  <si>
    <t>Act approving the chapter, ERDF/Interreg Art.9(5)(c)</t>
  </si>
  <si>
    <t>pay out values D15</t>
  </si>
  <si>
    <t>A1.2</t>
  </si>
  <si>
    <t>Allocation to measures adds up to 100%</t>
  </si>
  <si>
    <t>Sum of C27:C36 equals 100%</t>
  </si>
  <si>
    <t>Calculator rule</t>
  </si>
  <si>
    <t>pay out values C27:C36 (total C37)</t>
  </si>
  <si>
    <t>A1.3</t>
  </si>
  <si>
    <t>Measure rates valid</t>
  </si>
  <si>
    <t>Every rate in F27:F36 is above 0% and up to 100%; blank means chapter rate</t>
  </si>
  <si>
    <t>pay out values F27:F36</t>
  </si>
  <si>
    <t>A1.4</t>
  </si>
  <si>
    <t>Milestone and target shares add up to 100% per measure</t>
  </si>
  <si>
    <t>For every measure with an allocation, shares in column D add up to 100% (count of measures that fail)</t>
  </si>
  <si>
    <t>Calculator rule; draft guidance step 4 (distribution is guidance, not rule)</t>
  </si>
  <si>
    <t>pay out values: share total under each measure table (D57, D75 ... D219). See the measure overview below</t>
  </si>
  <si>
    <t>A1.5</t>
  </si>
  <si>
    <t>Every payout has a year between 2028 and 2035</t>
  </si>
  <si>
    <t>Rows with a payout value and no valid year (count). Such rows drop out of the annual totals</t>
  </si>
  <si>
    <t>pay out values: column G of the milestone and target tables. See the measure overview below</t>
  </si>
  <si>
    <t>A1.6</t>
  </si>
  <si>
    <t>Annual commitments add up to 100%</t>
  </si>
  <si>
    <t>Sum of B13:I13 on N+1 equals 100%</t>
  </si>
  <si>
    <t>Art.14(1) NRPP: profile 15.8, 15.5, 15.1, 14.8, 14.4, 12.8, 11.7%. The values are inputs, so they can be edited.</t>
  </si>
  <si>
    <t>N+1 row 13</t>
  </si>
  <si>
    <t>A1.7</t>
  </si>
  <si>
    <t>No commitment in 2035</t>
  </si>
  <si>
    <t>I13 on N+1 is zero. The decommitment test covers commitments for 2028 to 2034</t>
  </si>
  <si>
    <t>Art.14(1) NRPP covers 2028 to 2034</t>
  </si>
  <si>
    <t>N+1 I13</t>
  </si>
  <si>
    <t>A1.8</t>
  </si>
  <si>
    <t>Pre-financing total</t>
  </si>
  <si>
    <t>Total of the tranches on N+1 (J15). Information only</t>
  </si>
  <si>
    <t xml:space="preserve">Art.17(2) NRPP: [12]% in [three] tranches of [4]% (EP amendment 109: 14% as 4, 4, 3, 3 not included). The values are inputs, so they can be edited. </t>
  </si>
  <si>
    <t>N+1 row 15</t>
  </si>
  <si>
    <t>A1.9</t>
  </si>
  <si>
    <t>Public and private contribution equal the national contribution</t>
  </si>
  <si>
    <t>Optional. Where entered, H plus I equals G for each measure (sum of differences, EUR). Needed for the chapter template, not for the financial flows. Information only</t>
  </si>
  <si>
    <t>Optional information. The split is indicative.</t>
  </si>
  <si>
    <t>pay out values H27:I36 against G27:G36</t>
  </si>
  <si>
    <t>A2.1</t>
  </si>
  <si>
    <t>Payout values plus TA equal the Union contribution</t>
  </si>
  <si>
    <t>J9 minus D15 on pay out values</t>
  </si>
  <si>
    <t>Art.13(2) NRPP: TA flat rate paid on top</t>
  </si>
  <si>
    <t>pay out values D15, D18 to D20 and J9</t>
  </si>
  <si>
    <t>A2.2</t>
  </si>
  <si>
    <t>Measure totals equal the annual summary</t>
  </si>
  <si>
    <t>Per measure, the payout values in the block (C57 and similar) equal the annual summary (K52 and similar). A difference means payouts with no valid year</t>
  </si>
  <si>
    <t>pay out values: block totals against the annual summary rows 52 to 214. See the measure overview below</t>
  </si>
  <si>
    <t>A2.3</t>
  </si>
  <si>
    <t>All inflows equal the Union contribution</t>
  </si>
  <si>
    <t>Inflows: K44 equals J7, K45 equals J5, K46 equals J6</t>
  </si>
  <si>
    <t>Inflows rows 44 to 46 and J5 to J7</t>
  </si>
  <si>
    <t>A2.4</t>
  </si>
  <si>
    <t>TA sheet agrees with the inflow sheet</t>
  </si>
  <si>
    <t>TA sheet K6 equals K9</t>
  </si>
  <si>
    <t>TA rows 6 and 9</t>
  </si>
  <si>
    <t>A2.5</t>
  </si>
  <si>
    <t>All pre-financing is received</t>
  </si>
  <si>
    <t>Inflows K28 equals B10</t>
  </si>
  <si>
    <t>Inflows B10 and row 28</t>
  </si>
  <si>
    <t>A2.6</t>
  </si>
  <si>
    <t>Decommitment targets add up to the programme total</t>
  </si>
  <si>
    <t>N+1 J17 equals J7</t>
  </si>
  <si>
    <t>Calculator reading of Art.15(1) NRPP</t>
  </si>
  <si>
    <t>N+1 rows 7 and 17</t>
  </si>
  <si>
    <t>A2.7</t>
  </si>
  <si>
    <t>Measure sheets agree with the payout sheet</t>
  </si>
  <si>
    <t>On each of the ten measure sheets, inflows (K45) and payment applications (K34) equal the EU contribution of the measure (B5). Sum of differences, EUR</t>
  </si>
  <si>
    <t>Measure project payments sheets: B5, rows 34 and 45. See the measure overview below</t>
  </si>
  <si>
    <t>A2.8</t>
  </si>
  <si>
    <t>Payments to projects equal the EU contribution of each measure</t>
  </si>
  <si>
    <t>Count of measures where K30 on the measure sheet differs from B5. Information only: payments to projects are entered by the programme</t>
  </si>
  <si>
    <t>Illustration, not a rule</t>
  </si>
  <si>
    <t>P24:X29 on the measure sheets. See the measure overview below</t>
  </si>
  <si>
    <t>A3.1</t>
  </si>
  <si>
    <t>Weighted co-financing rate within the ceiling</t>
  </si>
  <si>
    <t>F37 on pay out values is at or below D16 (80% or 85%)</t>
  </si>
  <si>
    <t>Chapter choice of 80% or 85%</t>
  </si>
  <si>
    <t>pay out values F27:F38 and D16</t>
  </si>
  <si>
    <t>A3.2</t>
  </si>
  <si>
    <t>Measures above the ceiling individually</t>
  </si>
  <si>
    <t>Count of measures with a rate above D16. Allowed if the weighted rate is within the ceiling. Information only</t>
  </si>
  <si>
    <t>Optional choice for the programmes.</t>
  </si>
  <si>
    <t>A3.3</t>
  </si>
  <si>
    <t>Cumulative payments stay within the ceiling before closure</t>
  </si>
  <si>
    <t>Highest cumulative payment from COM to 2035 (row 54) does not exceed the ceiling B22</t>
  </si>
  <si>
    <t>Art.65(7) NRPP: 95% (Council wording); the ceiling is an editable input</t>
  </si>
  <si>
    <t>Inflows row 54, B22 and C22</t>
  </si>
  <si>
    <t>A3.4</t>
  </si>
  <si>
    <t>Interim payments below zero (information)</t>
  </si>
  <si>
    <t>Lowest actual interim payment (row 37). A negative value means a pre-financing tranche falls after the ceiling has been reached by payment applications; the net inflow of the year stays at or above zero</t>
  </si>
  <si>
    <t>Calculator rule. Clearing of pre-financing is contested between texts (Art.17(3) NRPP, EP amendment 109), no final information.</t>
  </si>
  <si>
    <t>Inflows row 37</t>
  </si>
  <si>
    <t>A3.5</t>
  </si>
  <si>
    <t>Decommitment test (N+1)</t>
  </si>
  <si>
    <t>Years in which cumulative payment applications are below the cumulative decommitment target (N+1 row 32)</t>
  </si>
  <si>
    <t>Art.15(1) NRPP; calculator reading</t>
  </si>
  <si>
    <t>N+1 row 32</t>
  </si>
  <si>
    <t>A4.1</t>
  </si>
  <si>
    <t>No error values in the workbook</t>
  </si>
  <si>
    <t>Count of cells showing an error on the calculation sheets (see the error locator below)</t>
  </si>
  <si>
    <t>Error locator below: sheet and first cell; error cells are red on the sheet</t>
  </si>
  <si>
    <t>Error locator (check A4.1): number of cells with an error per sheet and the first cell concerned</t>
  </si>
  <si>
    <t>No.</t>
  </si>
  <si>
    <t>Sheet</t>
  </si>
  <si>
    <t>Range scanned</t>
  </si>
  <si>
    <t>Cells with an error</t>
  </si>
  <si>
    <t>First cell with an error</t>
  </si>
  <si>
    <t>Action</t>
  </si>
  <si>
    <t>1</t>
  </si>
  <si>
    <t>A4:X219</t>
  </si>
  <si>
    <t>2</t>
  </si>
  <si>
    <t xml:space="preserve">N+1 </t>
  </si>
  <si>
    <t>A1:X68</t>
  </si>
  <si>
    <t>3</t>
  </si>
  <si>
    <t>A1:N60</t>
  </si>
  <si>
    <t>4</t>
  </si>
  <si>
    <t xml:space="preserve">TA </t>
  </si>
  <si>
    <t>A1:K11</t>
  </si>
  <si>
    <t>5</t>
  </si>
  <si>
    <t>A1:K54</t>
  </si>
  <si>
    <t>6</t>
  </si>
  <si>
    <t>Measure 1 project payments</t>
  </si>
  <si>
    <t>A1:Y67</t>
  </si>
  <si>
    <t>7</t>
  </si>
  <si>
    <t>Measure 2 project payments</t>
  </si>
  <si>
    <t>8</t>
  </si>
  <si>
    <t>Measure 3 project payments</t>
  </si>
  <si>
    <t>9</t>
  </si>
  <si>
    <t>Measure 4 project payments</t>
  </si>
  <si>
    <t>10</t>
  </si>
  <si>
    <t>Measure 5 project payments</t>
  </si>
  <si>
    <t>11</t>
  </si>
  <si>
    <t>Measure 6 project payments</t>
  </si>
  <si>
    <t>12</t>
  </si>
  <si>
    <t>Measure 7 project payments</t>
  </si>
  <si>
    <t>13</t>
  </si>
  <si>
    <t>Measure 8 project payments</t>
  </si>
  <si>
    <t>14</t>
  </si>
  <si>
    <t>Measure 9 project payments</t>
  </si>
  <si>
    <t>15</t>
  </si>
  <si>
    <t>Measure 10 project payments</t>
  </si>
  <si>
    <t>Measure overview: where a measure fails (checks A1.4, A1.5, A2.2, A2.7, A2.8)</t>
  </si>
  <si>
    <t>Measure</t>
  </si>
  <si>
    <t>Name</t>
  </si>
  <si>
    <t>Milestone and target shares</t>
  </si>
  <si>
    <t>Payout values not in a valid year (EUR)</t>
  </si>
  <si>
    <t>Measure sheet against payout sheet</t>
  </si>
  <si>
    <t>Payments to projects entered</t>
  </si>
  <si>
    <t>Measure 1</t>
  </si>
  <si>
    <t>pay out values rows 44 to 57; sheet Measure 1 project payments</t>
  </si>
  <si>
    <t>Measure 2</t>
  </si>
  <si>
    <t>pay out values rows 62 to 75; sheet Measure 2 project payments</t>
  </si>
  <si>
    <t>Measure 3</t>
  </si>
  <si>
    <t>pay out values rows 80 to 93; sheet Measure 3 project payments</t>
  </si>
  <si>
    <t>Measure 4</t>
  </si>
  <si>
    <t>pay out values rows 98 to 111; sheet Measure 4 project payments</t>
  </si>
  <si>
    <t>Measure 5</t>
  </si>
  <si>
    <t>pay out values rows 116 to 129; sheet Measure 5 project payments</t>
  </si>
  <si>
    <t>Measure 6</t>
  </si>
  <si>
    <t>pay out values rows 134 to 147; sheet Measure 6 project payments</t>
  </si>
  <si>
    <t>Measure 7</t>
  </si>
  <si>
    <t>pay out values rows 152 to 165; sheet Measure 7 project payments</t>
  </si>
  <si>
    <t>Measure 8</t>
  </si>
  <si>
    <t>pay out values rows 170 to 183; sheet Measure 8 project payments</t>
  </si>
  <si>
    <t>Measure 9</t>
  </si>
  <si>
    <t>pay out values rows 188 to 201; sheet Measure 9 project payments</t>
  </si>
  <si>
    <t>Measure 10</t>
  </si>
  <si>
    <t>pay out values rows 206 to 219; sheet Measure 10 project payments</t>
  </si>
  <si>
    <r>
      <t xml:space="preserve">Measures to milestones and target, with timeline and TA calculation
</t>
    </r>
    <r>
      <rPr>
        <b/>
        <sz val="12"/>
        <color theme="0"/>
        <rFont val="Aptos Narrow"/>
        <family val="2"/>
        <scheme val="minor"/>
      </rPr>
      <t>Please note that pay-out values are Union contribution (ERDF, Global Europe Instrument) only!</t>
    </r>
  </si>
  <si>
    <t>Model checks:</t>
  </si>
  <si>
    <t>Summary</t>
  </si>
  <si>
    <t>Annual sum of pay-out values for all measures and TA (€)</t>
  </si>
  <si>
    <t>Total</t>
  </si>
  <si>
    <t>pay-out value (€)</t>
  </si>
  <si>
    <t>TA (€)</t>
  </si>
  <si>
    <t>Total (€)</t>
  </si>
  <si>
    <t xml:space="preserve"> </t>
  </si>
  <si>
    <t>Step 1: Enter Chapter's financial frame and dividing to measures and TA</t>
  </si>
  <si>
    <t>Chapter's EU contribution = ERDF (+ Global Europe Instrument) (€)</t>
  </si>
  <si>
    <t>Chapter total budget (€)</t>
  </si>
  <si>
    <t>Chapter's EU contribution (€)</t>
  </si>
  <si>
    <t xml:space="preserve">         </t>
  </si>
  <si>
    <r>
      <rPr>
        <sz val="11"/>
        <color theme="0"/>
        <rFont val="Aptos Narrow"/>
        <family val="2"/>
        <scheme val="minor"/>
      </rPr>
      <t xml:space="preserve">available for </t>
    </r>
    <r>
      <rPr>
        <b/>
        <sz val="11"/>
        <color theme="0"/>
        <rFont val="Aptos Narrow"/>
        <family val="2"/>
        <scheme val="minor"/>
      </rPr>
      <t>Measures (€)</t>
    </r>
  </si>
  <si>
    <t>Total estimated cost for all Measures (€)</t>
  </si>
  <si>
    <t>Step 2: Splitting measures' total cost using %</t>
  </si>
  <si>
    <t>Name of Measures</t>
  </si>
  <si>
    <t>allocated %</t>
  </si>
  <si>
    <t>EU contribution (€)</t>
  </si>
  <si>
    <t>Total estimated cost (€)</t>
  </si>
  <si>
    <t>Co-financing rate of the measure (%)</t>
  </si>
  <si>
    <t>National contribution (€)</t>
  </si>
  <si>
    <t>Indicative public contribution (€)</t>
  </si>
  <si>
    <t>Indicative private contribution (€)</t>
  </si>
  <si>
    <t>Measures total</t>
  </si>
  <si>
    <t>Co-financing rate check</t>
  </si>
  <si>
    <t>Step 3: pay-out values per measure</t>
  </si>
  <si>
    <t>For calculation purposes</t>
  </si>
  <si>
    <t>EU contribution</t>
  </si>
  <si>
    <t>Indicative timeline for achievement</t>
  </si>
  <si>
    <t>Summary annual pay-out values and TA payments in €</t>
  </si>
  <si>
    <t>Name of milstone/ target</t>
  </si>
  <si>
    <t xml:space="preserve"> %</t>
  </si>
  <si>
    <t>Baseline (indicator)</t>
  </si>
  <si>
    <t>Target (indicator)</t>
  </si>
  <si>
    <t>timeline year</t>
  </si>
  <si>
    <t>Quater</t>
  </si>
  <si>
    <t>year</t>
  </si>
  <si>
    <t>pay-out value + TA (€)</t>
  </si>
  <si>
    <t>TOTAL</t>
  </si>
  <si>
    <t>milestone</t>
  </si>
  <si>
    <t>MC aprroval of Call 1</t>
  </si>
  <si>
    <t>Q1</t>
  </si>
  <si>
    <t>MC aprroval of Call 1 projects</t>
  </si>
  <si>
    <t>Q2</t>
  </si>
  <si>
    <t>target</t>
  </si>
  <si>
    <t>organisations operating (45%)</t>
  </si>
  <si>
    <t>Q3</t>
  </si>
  <si>
    <t>MC aprroval of Call 2</t>
  </si>
  <si>
    <t>Q4</t>
  </si>
  <si>
    <t>MC aprroval of Call 2 projects</t>
  </si>
  <si>
    <t>organisations operating (80%)</t>
  </si>
  <si>
    <t>MC aprroval of Call 3</t>
  </si>
  <si>
    <t>MC aprroval of Call 3 projects</t>
  </si>
  <si>
    <t>organisations operating (100%)</t>
  </si>
  <si>
    <t>additional indicator target (30%)</t>
  </si>
  <si>
    <t>additional indicator target (80%)</t>
  </si>
  <si>
    <t>additional indicator target (100%)</t>
  </si>
  <si>
    <t>insert rows above if needed</t>
  </si>
  <si>
    <t>additional indicator target (70%)</t>
  </si>
  <si>
    <t/>
  </si>
  <si>
    <t xml:space="preserve"> Info: Decommitment check (incl TA)</t>
  </si>
  <si>
    <t>Decommitment targets</t>
  </si>
  <si>
    <t>MFF-allocation %</t>
  </si>
  <si>
    <t>Programme annual budget</t>
  </si>
  <si>
    <t>pre-financing %</t>
  </si>
  <si>
    <t>pre-financing in €</t>
  </si>
  <si>
    <t>decommitment target annual</t>
  </si>
  <si>
    <t>cumulative decommitment target</t>
  </si>
  <si>
    <t>annual decommitment target as % of total</t>
  </si>
  <si>
    <t>Payment applications</t>
  </si>
  <si>
    <t>Measures annual</t>
  </si>
  <si>
    <t>Measures cumulative</t>
  </si>
  <si>
    <t>TA annual</t>
  </si>
  <si>
    <t>TA cumulative</t>
  </si>
  <si>
    <t>payment applications annual</t>
  </si>
  <si>
    <t>payment applications cumulative</t>
  </si>
  <si>
    <t>SUMMARY</t>
  </si>
  <si>
    <t>Decommitment check (applications against target)</t>
  </si>
  <si>
    <t>RISK: cumulative payment applications are below the cumulative decommitment target (Art.15(1) NRPP.</t>
  </si>
  <si>
    <t>Feeder for the chart "Payments from COM and ceilings" (linked to Inflows).</t>
  </si>
  <si>
    <t>This needs to come up, to support calculations</t>
  </si>
  <si>
    <t>after closure</t>
  </si>
  <si>
    <t>pre-financing cumulative</t>
  </si>
  <si>
    <t>inflows cumulative (calculative)</t>
  </si>
  <si>
    <t>Clearing of pre-financing at</t>
  </si>
  <si>
    <t>programme budget</t>
  </si>
  <si>
    <t>Info:  Inflows/payments from Commission (incl TA)</t>
  </si>
  <si>
    <t>Split between types of financing</t>
  </si>
  <si>
    <t>€ total</t>
  </si>
  <si>
    <t>%</t>
  </si>
  <si>
    <t>pre-financing</t>
  </si>
  <si>
    <t>interim payments</t>
  </si>
  <si>
    <t>Split between types of financing and timing</t>
  </si>
  <si>
    <t xml:space="preserve">after payment applications reach this level clearance of pre-financing starts </t>
  </si>
  <si>
    <t>payment after closure</t>
  </si>
  <si>
    <t>Limits for payments</t>
  </si>
  <si>
    <t>amount in €</t>
  </si>
  <si>
    <t xml:space="preserve">after cumulative payments reach this level clearance of pre-financing starts </t>
  </si>
  <si>
    <t>Clearance of pre-financing</t>
  </si>
  <si>
    <t>Effective level for interim payments</t>
  </si>
  <si>
    <t>Calculation of actual payments from COM</t>
  </si>
  <si>
    <t>measures</t>
  </si>
  <si>
    <t>payment applications</t>
  </si>
  <si>
    <t>payment applications cumulatively*</t>
  </si>
  <si>
    <t>All payments cumulatively* (payment applications plus pre-financing, before the ceiling)</t>
  </si>
  <si>
    <t>actual interim payments</t>
  </si>
  <si>
    <t>% of payment application</t>
  </si>
  <si>
    <t>Calculation of inflows</t>
  </si>
  <si>
    <t>inflows total</t>
  </si>
  <si>
    <t>for measures</t>
  </si>
  <si>
    <t>annual payments from COM: pre-financing</t>
  </si>
  <si>
    <t>annual payments from COM: interim payments</t>
  </si>
  <si>
    <t>annual payments from COM</t>
  </si>
  <si>
    <t>cumulative payments from COM</t>
  </si>
  <si>
    <t xml:space="preserve">Clearing of pre-financing </t>
  </si>
  <si>
    <t>Info: TA generation with Post27 financial frame</t>
  </si>
  <si>
    <t>Union contribution (not including national contributions)</t>
  </si>
  <si>
    <t>Technical assistance</t>
  </si>
  <si>
    <t>TA annual in payment applications</t>
  </si>
  <si>
    <t>TA cumulative in payment applications</t>
  </si>
  <si>
    <t>TA cumulative as % of total</t>
  </si>
  <si>
    <t>Actual payments for TA (pre-financing &amp; interim payments)</t>
  </si>
  <si>
    <t>Inflows and outflows</t>
  </si>
  <si>
    <t>Balance</t>
  </si>
  <si>
    <t>cumulative inflows from COM</t>
  </si>
  <si>
    <t>cumulative payments to projects</t>
  </si>
  <si>
    <t>Per mearsure</t>
  </si>
  <si>
    <t>EU contr</t>
  </si>
  <si>
    <t>Payments to projects</t>
  </si>
  <si>
    <t>Fill in here to feed into calculator on left</t>
  </si>
  <si>
    <t>Payments to projects (outflows)</t>
  </si>
  <si>
    <t>Call 1 projects</t>
  </si>
  <si>
    <t>Call 2 projects</t>
  </si>
  <si>
    <t>Call 3 projects</t>
  </si>
  <si>
    <t>Call 4  projects</t>
  </si>
  <si>
    <t>Call 5  projects</t>
  </si>
  <si>
    <t>Call 6 projects</t>
  </si>
  <si>
    <t>Total for Measure 1</t>
  </si>
  <si>
    <t>Payments from COM (inflows)</t>
  </si>
  <si>
    <t>prefinancing</t>
  </si>
  <si>
    <t>Mini claculator for project payments (to show an example)</t>
  </si>
  <si>
    <t>Spending profile for regular project (36 months)</t>
  </si>
  <si>
    <t>Months</t>
  </si>
  <si>
    <t>M 1-6</t>
  </si>
  <si>
    <t>M 7-12</t>
  </si>
  <si>
    <t>M 13-18</t>
  </si>
  <si>
    <t>M 19-24</t>
  </si>
  <si>
    <t>M 25-30</t>
  </si>
  <si>
    <t>M 31-36</t>
  </si>
  <si>
    <t>Spending profile as %</t>
  </si>
  <si>
    <t>Spending profile in €</t>
  </si>
  <si>
    <t>no of projects per call</t>
  </si>
  <si>
    <t>average budget</t>
  </si>
  <si>
    <t>* calculated value, no ceiling or clearing</t>
  </si>
  <si>
    <t>Call 1</t>
  </si>
  <si>
    <t>Call 4</t>
  </si>
  <si>
    <t>Call 2</t>
  </si>
  <si>
    <t>Call 5</t>
  </si>
  <si>
    <t>Call 3</t>
  </si>
  <si>
    <t>Call 6</t>
  </si>
  <si>
    <t>currently calculations for calls 1-3, you can edit timing and all</t>
  </si>
  <si>
    <t>inflows from COM</t>
  </si>
  <si>
    <t>payments to projects</t>
  </si>
  <si>
    <t>balance</t>
  </si>
  <si>
    <t>cumulative balance</t>
  </si>
  <si>
    <t>Cumulative inflows and outflows</t>
  </si>
  <si>
    <t>Total for Measure 2</t>
  </si>
  <si>
    <t>Total for Measure 3</t>
  </si>
  <si>
    <t>Total for Measure 4</t>
  </si>
  <si>
    <t>Total for Measure 5</t>
  </si>
  <si>
    <t>Total for Measure 6</t>
  </si>
  <si>
    <t>Total for Measure 7</t>
  </si>
  <si>
    <t>Total for Measure 8</t>
  </si>
  <si>
    <t>Total for Measure 9</t>
  </si>
  <si>
    <t>Total for Measure 10</t>
  </si>
  <si>
    <t>Number of individual pay out values/year</t>
  </si>
  <si>
    <t>The calculator supports the financial planning of an Interreg chapter. Using it, the programmes can distribute the Union contribution to measures, milestones and targets, place the payout values in time, and derive the payments expected from the Commission (pre-financing, interim payments, payment after closure) and the technical assistance (TA). It supports in meeting commitment targets, (N+1) for the time being. Additionally, it can be used to plan cash flows on project level (per measure).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</si>
</sst>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_-* #,##0.00\ _€_-;\-* #,##0.00\ _€_-;_-* &quot;-&quot;??\ _€_-;_-@_-"/>
  </numFmts>
  <fonts count="23" x14ac:knownFonts="1">
    <font>
      <sz val="11"/>
      <color theme="1"/>
      <name val="Aptos Narrow"/>
      <family val="2"/>
      <scheme val="minor"/>
    </font>
    <font>
      <b/>
      <sz val="11"/>
      <color theme="1"/>
      <name val="Aptos Narrow"/>
      <family val="2"/>
      <scheme val="minor"/>
    </font>
    <font>
      <sz val="11"/>
      <color theme="0"/>
      <name val="Aptos Narrow"/>
      <family val="2"/>
      <scheme val="minor"/>
    </font>
    <font>
      <sz val="11"/>
      <color theme="1"/>
      <name val="Aptos Narrow"/>
      <family val="2"/>
      <scheme val="minor"/>
    </font>
    <font>
      <sz val="8"/>
      <name val="Aptos Narrow"/>
      <family val="2"/>
      <scheme val="minor"/>
    </font>
    <font>
      <sz val="11"/>
      <color rgb="FFFF0000"/>
      <name val="Aptos Narrow"/>
      <family val="2"/>
      <scheme val="minor"/>
    </font>
    <font>
      <b/>
      <sz val="11"/>
      <color theme="0"/>
      <name val="Aptos Narrow"/>
      <family val="2"/>
      <scheme val="minor"/>
    </font>
    <font>
      <sz val="9"/>
      <color indexed="81"/>
      <name val="Tahoma"/>
      <family val="2"/>
    </font>
    <font>
      <b/>
      <sz val="12"/>
      <color theme="1"/>
      <name val="Aptos Narrow"/>
      <family val="2"/>
      <scheme val="minor"/>
    </font>
    <font>
      <b/>
      <sz val="14"/>
      <color theme="0"/>
      <name val="Aptos Narrow"/>
      <family val="2"/>
      <scheme val="minor"/>
    </font>
    <font>
      <b/>
      <sz val="12"/>
      <color theme="0"/>
      <name val="Aptos Narrow"/>
      <family val="2"/>
      <scheme val="minor"/>
    </font>
    <font>
      <b/>
      <sz val="16"/>
      <color theme="0"/>
      <name val="Aptos Narrow"/>
      <family val="2"/>
      <scheme val="minor"/>
    </font>
    <font>
      <b/>
      <sz val="9"/>
      <color indexed="81"/>
      <name val="Tahoma"/>
      <family val="2"/>
    </font>
    <font>
      <sz val="11"/>
      <color indexed="53"/>
      <name val="Aptos Narrow"/>
      <family val="2"/>
      <scheme val="minor"/>
    </font>
    <font>
      <b/>
      <sz val="11"/>
      <color indexed="53"/>
      <name val="Aptos Narrow"/>
      <family val="2"/>
      <scheme val="minor"/>
    </font>
    <font>
      <b/>
      <sz val="12"/>
      <color indexed="53"/>
      <name val="Aptos Narrow"/>
      <family val="2"/>
      <scheme val="minor"/>
    </font>
    <font>
      <b/>
      <sz val="14"/>
      <color theme="1"/>
      <name val="Aptos Narrow"/>
      <family val="2"/>
      <scheme val="minor"/>
    </font>
    <font>
      <b/>
      <sz val="11"/>
      <color rgb="FFFF0000"/>
      <name val="Aptos Narrow"/>
      <family val="2"/>
      <scheme val="minor"/>
    </font>
    <font>
      <sz val="11"/>
      <name val="Aptos Narrow"/>
      <family val="2"/>
      <scheme val="minor"/>
    </font>
    <font>
      <i/>
      <sz val="11"/>
      <color theme="1"/>
      <name val="Aptos Narrow"/>
      <family val="2"/>
      <scheme val="minor"/>
    </font>
    <font>
      <i/>
      <sz val="11"/>
      <color theme="0"/>
      <name val="Aptos Narrow"/>
      <family val="2"/>
      <scheme val="minor"/>
    </font>
    <font>
      <sz val="9"/>
      <color indexed="81"/>
      <name val="Tahoma"/>
      <charset val="1"/>
    </font>
    <font>
      <b/>
      <sz val="9"/>
      <color indexed="81"/>
      <name val="Tahoma"/>
      <charset val="1"/>
    </font>
  </fonts>
  <fills count="12">
    <fill>
      <patternFill patternType="none"/>
    </fill>
    <fill>
      <patternFill patternType="gray125"/>
    </fill>
    <fill>
      <patternFill patternType="solid">
        <fgColor rgb="FF0070C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0"/>
        <bgColor indexed="64"/>
      </patternFill>
    </fill>
    <fill>
      <patternFill patternType="solid">
        <fgColor theme="3" tint="0.749992370372631"/>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rgb="FFFFFF0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style="thin">
        <color indexed="64"/>
      </right>
      <top style="medium">
        <color indexed="64"/>
      </top>
      <bottom/>
      <diagonal/>
    </border>
  </borders>
  <cellStyleXfs count="3">
    <xf numFmtId="0" fontId="0" fillId="0" borderId="0"/>
    <xf numFmtId="9" fontId="3" fillId="0" borderId="0" applyFont="0" applyFill="0" applyBorder="0" applyAlignment="0" applyProtection="0"/>
    <xf numFmtId="43" fontId="3" fillId="0" borderId="0" applyFont="0" applyFill="0" applyBorder="0" applyAlignment="0" applyProtection="0"/>
  </cellStyleXfs>
  <cellXfs count="179">
    <xf numFmtId="0" fontId="0" fillId="0" borderId="0" xfId="0"/>
    <xf numFmtId="1" fontId="0" fillId="0" borderId="0" xfId="0" applyNumberFormat="1"/>
    <xf numFmtId="0" fontId="0" fillId="0" borderId="0" xfId="0" applyAlignment="1">
      <alignment horizontal="center"/>
    </xf>
    <xf numFmtId="3" fontId="0" fillId="0" borderId="0" xfId="0" applyNumberFormat="1"/>
    <xf numFmtId="3" fontId="0" fillId="3" borderId="1" xfId="0" applyNumberFormat="1" applyFill="1" applyBorder="1"/>
    <xf numFmtId="0" fontId="1" fillId="0" borderId="0" xfId="0" applyFont="1"/>
    <xf numFmtId="0" fontId="2" fillId="2" borderId="1" xfId="0" applyFont="1" applyFill="1" applyBorder="1" applyAlignment="1">
      <alignment horizontal="center" wrapText="1"/>
    </xf>
    <xf numFmtId="9" fontId="0" fillId="0" borderId="0" xfId="1" applyFont="1"/>
    <xf numFmtId="0" fontId="1" fillId="0" borderId="1" xfId="0" applyFont="1" applyBorder="1" applyAlignment="1">
      <alignment horizontal="center"/>
    </xf>
    <xf numFmtId="0" fontId="2" fillId="2" borderId="4" xfId="0" applyFont="1" applyFill="1" applyBorder="1" applyAlignment="1">
      <alignment horizontal="center" wrapText="1"/>
    </xf>
    <xf numFmtId="9" fontId="0" fillId="3" borderId="1" xfId="1" applyFont="1" applyFill="1" applyBorder="1"/>
    <xf numFmtId="0" fontId="1" fillId="0" borderId="0" xfId="0" applyFont="1" applyAlignment="1">
      <alignment horizontal="center"/>
    </xf>
    <xf numFmtId="0" fontId="0" fillId="3" borderId="1" xfId="0" applyFill="1" applyBorder="1"/>
    <xf numFmtId="0" fontId="0" fillId="0" borderId="0" xfId="0" applyAlignment="1">
      <alignment horizontal="right"/>
    </xf>
    <xf numFmtId="0" fontId="1" fillId="0" borderId="0" xfId="0" applyFont="1" applyAlignment="1">
      <alignment horizontal="right"/>
    </xf>
    <xf numFmtId="0" fontId="1" fillId="0" borderId="7" xfId="0" applyFont="1" applyBorder="1" applyAlignment="1">
      <alignment horizontal="center"/>
    </xf>
    <xf numFmtId="0" fontId="5" fillId="0" borderId="0" xfId="0" applyFont="1"/>
    <xf numFmtId="9" fontId="0" fillId="7" borderId="1" xfId="0" applyNumberFormat="1" applyFill="1" applyBorder="1"/>
    <xf numFmtId="0" fontId="6" fillId="2" borderId="5" xfId="0" applyFont="1" applyFill="1" applyBorder="1" applyAlignment="1">
      <alignment horizontal="right"/>
    </xf>
    <xf numFmtId="0" fontId="6" fillId="2" borderId="1" xfId="0" applyFont="1" applyFill="1" applyBorder="1" applyAlignment="1">
      <alignment horizontal="right"/>
    </xf>
    <xf numFmtId="10" fontId="0" fillId="0" borderId="1" xfId="0" applyNumberFormat="1" applyBorder="1"/>
    <xf numFmtId="0" fontId="0" fillId="0" borderId="9" xfId="0" applyBorder="1" applyAlignment="1">
      <alignment wrapText="1"/>
    </xf>
    <xf numFmtId="0" fontId="2" fillId="2" borderId="6" xfId="0" applyFont="1" applyFill="1" applyBorder="1" applyAlignment="1">
      <alignment horizontal="center"/>
    </xf>
    <xf numFmtId="0" fontId="2" fillId="2" borderId="11" xfId="0" applyFont="1" applyFill="1" applyBorder="1" applyAlignment="1">
      <alignment horizontal="right" wrapText="1"/>
    </xf>
    <xf numFmtId="0" fontId="0" fillId="0" borderId="9" xfId="0" applyBorder="1"/>
    <xf numFmtId="43" fontId="0" fillId="0" borderId="0" xfId="0" applyNumberFormat="1" applyAlignment="1">
      <alignment horizontal="center"/>
    </xf>
    <xf numFmtId="43" fontId="0" fillId="0" borderId="0" xfId="0" applyNumberFormat="1"/>
    <xf numFmtId="43" fontId="6" fillId="2" borderId="1" xfId="0" applyNumberFormat="1" applyFont="1" applyFill="1" applyBorder="1"/>
    <xf numFmtId="0" fontId="0" fillId="0" borderId="15" xfId="0" applyBorder="1"/>
    <xf numFmtId="0" fontId="0" fillId="0" borderId="18" xfId="0" applyBorder="1"/>
    <xf numFmtId="0" fontId="0" fillId="0" borderId="20" xfId="0" applyBorder="1"/>
    <xf numFmtId="0" fontId="0" fillId="0" borderId="21" xfId="0" applyBorder="1"/>
    <xf numFmtId="0" fontId="0" fillId="0" borderId="22" xfId="0" applyBorder="1"/>
    <xf numFmtId="0" fontId="8" fillId="8" borderId="0" xfId="0" applyFont="1" applyFill="1" applyAlignment="1">
      <alignment horizontal="center" vertical="center"/>
    </xf>
    <xf numFmtId="0" fontId="0" fillId="8" borderId="0" xfId="0" applyFill="1"/>
    <xf numFmtId="0" fontId="0" fillId="0" borderId="0" xfId="0" applyAlignment="1">
      <alignment wrapText="1"/>
    </xf>
    <xf numFmtId="0" fontId="2" fillId="2" borderId="5" xfId="0" applyFont="1" applyFill="1" applyBorder="1" applyAlignment="1">
      <alignment horizontal="center" wrapText="1"/>
    </xf>
    <xf numFmtId="0" fontId="2" fillId="2" borderId="19" xfId="0" applyFont="1" applyFill="1" applyBorder="1" applyAlignment="1">
      <alignment horizontal="center" wrapText="1"/>
    </xf>
    <xf numFmtId="0" fontId="2" fillId="2" borderId="25" xfId="0" applyFont="1" applyFill="1" applyBorder="1" applyAlignment="1">
      <alignment horizontal="center" wrapText="1"/>
    </xf>
    <xf numFmtId="0" fontId="6" fillId="2" borderId="28" xfId="0" applyFont="1" applyFill="1" applyBorder="1" applyAlignment="1">
      <alignment horizontal="right"/>
    </xf>
    <xf numFmtId="43" fontId="2" fillId="2" borderId="22" xfId="0" applyNumberFormat="1" applyFont="1" applyFill="1" applyBorder="1" applyAlignment="1">
      <alignment horizontal="center"/>
    </xf>
    <xf numFmtId="0" fontId="2" fillId="2" borderId="14" xfId="0" applyFont="1" applyFill="1" applyBorder="1" applyAlignment="1">
      <alignment horizontal="center"/>
    </xf>
    <xf numFmtId="3" fontId="0" fillId="3" borderId="10" xfId="0" applyNumberFormat="1" applyFill="1" applyBorder="1"/>
    <xf numFmtId="43" fontId="0" fillId="0" borderId="18" xfId="0" applyNumberFormat="1" applyBorder="1" applyAlignment="1">
      <alignment horizontal="center"/>
    </xf>
    <xf numFmtId="0" fontId="6" fillId="2" borderId="31" xfId="0" applyFont="1" applyFill="1" applyBorder="1" applyAlignment="1">
      <alignment horizontal="right"/>
    </xf>
    <xf numFmtId="0" fontId="1" fillId="0" borderId="21" xfId="0" applyFont="1" applyBorder="1" applyAlignment="1">
      <alignment horizontal="center"/>
    </xf>
    <xf numFmtId="43" fontId="0" fillId="0" borderId="21" xfId="0" applyNumberFormat="1" applyBorder="1"/>
    <xf numFmtId="0" fontId="2" fillId="2" borderId="32" xfId="0" applyFont="1" applyFill="1" applyBorder="1" applyAlignment="1">
      <alignment wrapText="1"/>
    </xf>
    <xf numFmtId="0" fontId="2" fillId="2" borderId="33" xfId="0" applyFont="1" applyFill="1" applyBorder="1" applyAlignment="1">
      <alignment horizontal="center"/>
    </xf>
    <xf numFmtId="3" fontId="0" fillId="3" borderId="19" xfId="0" applyNumberFormat="1" applyFill="1" applyBorder="1"/>
    <xf numFmtId="43" fontId="0" fillId="8" borderId="1" xfId="2" applyFont="1" applyFill="1" applyBorder="1"/>
    <xf numFmtId="43" fontId="1" fillId="8" borderId="25" xfId="2" applyFont="1" applyFill="1" applyBorder="1" applyAlignment="1">
      <alignment horizontal="center"/>
    </xf>
    <xf numFmtId="43" fontId="0" fillId="8" borderId="4" xfId="2" applyFont="1" applyFill="1" applyBorder="1"/>
    <xf numFmtId="43" fontId="0" fillId="8" borderId="29" xfId="2" applyFont="1" applyFill="1" applyBorder="1"/>
    <xf numFmtId="43" fontId="1" fillId="8" borderId="25" xfId="0" applyNumberFormat="1" applyFont="1" applyFill="1" applyBorder="1" applyAlignment="1">
      <alignment horizontal="center"/>
    </xf>
    <xf numFmtId="43" fontId="1" fillId="8" borderId="29" xfId="2" applyFont="1" applyFill="1" applyBorder="1"/>
    <xf numFmtId="0" fontId="6" fillId="2" borderId="26" xfId="0" applyFont="1" applyFill="1" applyBorder="1" applyAlignment="1">
      <alignment horizontal="center"/>
    </xf>
    <xf numFmtId="0" fontId="6" fillId="2" borderId="27" xfId="0" applyFont="1" applyFill="1" applyBorder="1" applyAlignment="1">
      <alignment horizontal="center"/>
    </xf>
    <xf numFmtId="43" fontId="0" fillId="8" borderId="2" xfId="2" applyFont="1" applyFill="1" applyBorder="1"/>
    <xf numFmtId="10" fontId="1" fillId="8" borderId="29" xfId="1" applyNumberFormat="1" applyFont="1" applyFill="1" applyBorder="1"/>
    <xf numFmtId="43" fontId="0" fillId="8" borderId="5" xfId="2" applyFont="1" applyFill="1" applyBorder="1"/>
    <xf numFmtId="4" fontId="1" fillId="8" borderId="1" xfId="0" applyNumberFormat="1" applyFont="1" applyFill="1" applyBorder="1"/>
    <xf numFmtId="4" fontId="1" fillId="8" borderId="3" xfId="0" applyNumberFormat="1" applyFont="1" applyFill="1" applyBorder="1"/>
    <xf numFmtId="4" fontId="0" fillId="8" borderId="1" xfId="0" applyNumberFormat="1" applyFill="1" applyBorder="1"/>
    <xf numFmtId="43" fontId="1" fillId="8" borderId="1" xfId="2" applyFont="1" applyFill="1" applyBorder="1"/>
    <xf numFmtId="43" fontId="1" fillId="8" borderId="1" xfId="0" applyNumberFormat="1" applyFont="1" applyFill="1" applyBorder="1"/>
    <xf numFmtId="0" fontId="6" fillId="2" borderId="0" xfId="0" applyFont="1" applyFill="1" applyAlignment="1">
      <alignment horizontal="right" wrapText="1"/>
    </xf>
    <xf numFmtId="164" fontId="1" fillId="8" borderId="1" xfId="2" applyNumberFormat="1" applyFont="1" applyFill="1" applyBorder="1" applyAlignment="1">
      <alignment horizontal="center"/>
    </xf>
    <xf numFmtId="0" fontId="1" fillId="8" borderId="1" xfId="2" applyNumberFormat="1" applyFont="1" applyFill="1" applyBorder="1" applyAlignment="1">
      <alignment horizontal="center"/>
    </xf>
    <xf numFmtId="0" fontId="6" fillId="2" borderId="0" xfId="0" applyFont="1" applyFill="1" applyAlignment="1">
      <alignment horizontal="right"/>
    </xf>
    <xf numFmtId="0" fontId="6" fillId="2" borderId="1" xfId="0" applyFont="1" applyFill="1" applyBorder="1" applyAlignment="1">
      <alignment horizontal="center"/>
    </xf>
    <xf numFmtId="0" fontId="2" fillId="2" borderId="32" xfId="0" applyFont="1" applyFill="1" applyBorder="1" applyAlignment="1">
      <alignment horizontal="center" wrapText="1"/>
    </xf>
    <xf numFmtId="0" fontId="6" fillId="2" borderId="33" xfId="0" applyFont="1" applyFill="1" applyBorder="1" applyAlignment="1">
      <alignment horizontal="center"/>
    </xf>
    <xf numFmtId="0" fontId="6" fillId="2" borderId="36" xfId="0" applyFont="1" applyFill="1" applyBorder="1" applyAlignment="1">
      <alignment horizontal="right"/>
    </xf>
    <xf numFmtId="43" fontId="0" fillId="8" borderId="25" xfId="2" applyFont="1" applyFill="1" applyBorder="1"/>
    <xf numFmtId="0" fontId="2" fillId="2" borderId="37" xfId="0" applyFont="1" applyFill="1" applyBorder="1" applyAlignment="1">
      <alignment horizontal="center" wrapText="1"/>
    </xf>
    <xf numFmtId="43" fontId="1" fillId="8" borderId="29" xfId="2" applyFont="1" applyFill="1" applyBorder="1" applyAlignment="1">
      <alignment horizontal="center"/>
    </xf>
    <xf numFmtId="43" fontId="2" fillId="2" borderId="38" xfId="0" applyNumberFormat="1" applyFont="1" applyFill="1" applyBorder="1" applyAlignment="1">
      <alignment horizontal="center"/>
    </xf>
    <xf numFmtId="43" fontId="1" fillId="8" borderId="25" xfId="2" applyFont="1" applyFill="1" applyBorder="1"/>
    <xf numFmtId="43" fontId="1" fillId="8" borderId="29" xfId="0" applyNumberFormat="1" applyFont="1" applyFill="1" applyBorder="1" applyAlignment="1">
      <alignment horizontal="center"/>
    </xf>
    <xf numFmtId="0" fontId="17" fillId="0" borderId="0" xfId="0" applyFont="1"/>
    <xf numFmtId="165" fontId="0" fillId="0" borderId="0" xfId="0" applyNumberFormat="1"/>
    <xf numFmtId="0" fontId="5" fillId="0" borderId="0" xfId="0" applyFont="1" applyAlignment="1">
      <alignment horizontal="right"/>
    </xf>
    <xf numFmtId="0" fontId="6" fillId="2" borderId="1" xfId="0" applyFont="1" applyFill="1" applyBorder="1" applyAlignment="1">
      <alignment horizontal="center" wrapText="1"/>
    </xf>
    <xf numFmtId="0" fontId="6" fillId="2" borderId="5" xfId="0" applyFont="1" applyFill="1" applyBorder="1" applyAlignment="1">
      <alignment horizontal="center" wrapText="1"/>
    </xf>
    <xf numFmtId="9" fontId="0" fillId="3" borderId="5" xfId="0" applyNumberFormat="1" applyFill="1" applyBorder="1" applyAlignment="1">
      <alignment horizontal="center"/>
    </xf>
    <xf numFmtId="0" fontId="18" fillId="0" borderId="0" xfId="0" applyFont="1" applyAlignment="1">
      <alignment horizontal="right"/>
    </xf>
    <xf numFmtId="9" fontId="0" fillId="0" borderId="0" xfId="1" applyFont="1" applyBorder="1"/>
    <xf numFmtId="0" fontId="0" fillId="4" borderId="0" xfId="0" applyFill="1"/>
    <xf numFmtId="3" fontId="0" fillId="9" borderId="5" xfId="0" applyNumberFormat="1" applyFill="1" applyBorder="1"/>
    <xf numFmtId="3" fontId="0" fillId="9" borderId="7" xfId="0" applyNumberFormat="1" applyFill="1" applyBorder="1"/>
    <xf numFmtId="3" fontId="0" fillId="9" borderId="6" xfId="0" applyNumberFormat="1" applyFill="1" applyBorder="1"/>
    <xf numFmtId="0" fontId="0" fillId="8" borderId="1" xfId="0" applyFill="1" applyBorder="1" applyAlignment="1">
      <alignment horizontal="center"/>
    </xf>
    <xf numFmtId="9" fontId="0" fillId="8" borderId="1" xfId="1" applyFont="1" applyFill="1" applyBorder="1" applyAlignment="1">
      <alignment horizontal="center"/>
    </xf>
    <xf numFmtId="9" fontId="0" fillId="8" borderId="1" xfId="0" applyNumberFormat="1" applyFill="1" applyBorder="1" applyAlignment="1">
      <alignment horizontal="center"/>
    </xf>
    <xf numFmtId="3" fontId="0" fillId="8" borderId="1" xfId="0" applyNumberFormat="1" applyFill="1" applyBorder="1" applyAlignment="1">
      <alignment horizontal="center"/>
    </xf>
    <xf numFmtId="0" fontId="0" fillId="10" borderId="0" xfId="0" applyFill="1"/>
    <xf numFmtId="0" fontId="0" fillId="8" borderId="1" xfId="0" applyFill="1" applyBorder="1"/>
    <xf numFmtId="3" fontId="0" fillId="4" borderId="0" xfId="0" applyNumberFormat="1" applyFill="1"/>
    <xf numFmtId="3" fontId="1" fillId="8" borderId="1" xfId="0" applyNumberFormat="1" applyFont="1" applyFill="1" applyBorder="1" applyAlignment="1">
      <alignment horizontal="center"/>
    </xf>
    <xf numFmtId="9" fontId="0" fillId="8" borderId="1" xfId="0" applyNumberFormat="1" applyFill="1" applyBorder="1"/>
    <xf numFmtId="0" fontId="6" fillId="2" borderId="3" xfId="0" applyFont="1" applyFill="1" applyBorder="1" applyAlignment="1">
      <alignment horizontal="center" wrapText="1"/>
    </xf>
    <xf numFmtId="9" fontId="0" fillId="8" borderId="1" xfId="1" applyFont="1" applyFill="1" applyBorder="1"/>
    <xf numFmtId="9" fontId="0" fillId="8" borderId="5" xfId="0" applyNumberFormat="1" applyFill="1" applyBorder="1" applyAlignment="1">
      <alignment horizontal="center"/>
    </xf>
    <xf numFmtId="0" fontId="6" fillId="2" borderId="34" xfId="0" applyFont="1" applyFill="1" applyBorder="1" applyAlignment="1">
      <alignment horizontal="right"/>
    </xf>
    <xf numFmtId="0" fontId="6" fillId="2" borderId="5" xfId="0" applyFont="1" applyFill="1" applyBorder="1" applyAlignment="1">
      <alignment horizontal="right" vertical="center" wrapText="1"/>
    </xf>
    <xf numFmtId="0" fontId="19" fillId="0" borderId="0" xfId="0" applyFont="1" applyAlignment="1">
      <alignment horizontal="right"/>
    </xf>
    <xf numFmtId="3" fontId="1" fillId="4" borderId="0" xfId="0" applyNumberFormat="1" applyFont="1" applyFill="1"/>
    <xf numFmtId="0" fontId="1" fillId="10" borderId="0" xfId="0" applyFont="1" applyFill="1"/>
    <xf numFmtId="0" fontId="0" fillId="0" borderId="1" xfId="0" applyBorder="1" applyAlignment="1" applyProtection="1">
      <alignment horizontal="right"/>
      <protection locked="0"/>
    </xf>
    <xf numFmtId="3" fontId="0" fillId="0" borderId="1" xfId="0" applyNumberFormat="1" applyBorder="1" applyAlignment="1" applyProtection="1">
      <alignment horizontal="center"/>
      <protection locked="0"/>
    </xf>
    <xf numFmtId="9" fontId="0" fillId="0" borderId="1" xfId="0" applyNumberFormat="1" applyBorder="1" applyProtection="1">
      <protection locked="0"/>
    </xf>
    <xf numFmtId="0" fontId="0" fillId="0" borderId="0" xfId="0" applyAlignment="1" applyProtection="1">
      <alignment horizontal="right"/>
      <protection locked="0"/>
    </xf>
    <xf numFmtId="0" fontId="0" fillId="0" borderId="1" xfId="0" applyBorder="1" applyProtection="1">
      <protection locked="0"/>
    </xf>
    <xf numFmtId="0" fontId="0" fillId="0" borderId="0" xfId="0" applyProtection="1">
      <protection locked="0"/>
    </xf>
    <xf numFmtId="0" fontId="0" fillId="7" borderId="17" xfId="0" applyFill="1" applyBorder="1" applyProtection="1">
      <protection locked="0"/>
    </xf>
    <xf numFmtId="0" fontId="0" fillId="0" borderId="2" xfId="0" applyBorder="1" applyProtection="1">
      <protection locked="0"/>
    </xf>
    <xf numFmtId="0" fontId="0" fillId="7" borderId="19" xfId="0" applyFill="1" applyBorder="1" applyProtection="1">
      <protection locked="0"/>
    </xf>
    <xf numFmtId="10" fontId="0" fillId="0" borderId="1" xfId="0" applyNumberFormat="1" applyBorder="1" applyProtection="1">
      <protection locked="0"/>
    </xf>
    <xf numFmtId="0" fontId="0" fillId="0" borderId="1" xfId="0" applyBorder="1" applyAlignment="1" applyProtection="1">
      <alignment horizontal="center"/>
      <protection locked="0"/>
    </xf>
    <xf numFmtId="0" fontId="0" fillId="7" borderId="1" xfId="0" applyFill="1" applyBorder="1" applyAlignment="1" applyProtection="1">
      <alignment horizontal="center"/>
      <protection locked="0"/>
    </xf>
    <xf numFmtId="0" fontId="0" fillId="0" borderId="0" xfId="0" applyAlignment="1" applyProtection="1">
      <alignment horizontal="center"/>
      <protection locked="0"/>
    </xf>
    <xf numFmtId="4" fontId="0" fillId="5" borderId="1" xfId="0" applyNumberFormat="1" applyFill="1" applyBorder="1" applyProtection="1">
      <protection locked="0"/>
    </xf>
    <xf numFmtId="0" fontId="19" fillId="0" borderId="1" xfId="0" applyFont="1" applyBorder="1" applyProtection="1">
      <protection locked="0"/>
    </xf>
    <xf numFmtId="0" fontId="9" fillId="2" borderId="0" xfId="0" applyFont="1" applyFill="1" applyAlignment="1">
      <alignment horizontal="center" vertical="center" wrapText="1"/>
    </xf>
    <xf numFmtId="9" fontId="0" fillId="0" borderId="1" xfId="0" applyNumberFormat="1" applyBorder="1" applyAlignment="1">
      <alignment horizontal="center"/>
    </xf>
    <xf numFmtId="9" fontId="1" fillId="8" borderId="1" xfId="2" applyNumberFormat="1" applyFont="1" applyFill="1" applyBorder="1"/>
    <xf numFmtId="0" fontId="0" fillId="0" borderId="1" xfId="0" applyBorder="1" applyAlignment="1">
      <alignment vertical="top" wrapText="1"/>
    </xf>
    <xf numFmtId="0" fontId="0" fillId="8" borderId="1" xfId="2" applyNumberFormat="1" applyFont="1" applyFill="1" applyBorder="1" applyAlignment="1">
      <alignment vertical="top" wrapText="1"/>
    </xf>
    <xf numFmtId="0" fontId="2" fillId="2" borderId="6" xfId="0" applyFont="1" applyFill="1" applyBorder="1" applyAlignment="1">
      <alignment horizontal="center" wrapText="1"/>
    </xf>
    <xf numFmtId="10" fontId="0" fillId="0" borderId="6" xfId="0" applyNumberFormat="1" applyBorder="1"/>
    <xf numFmtId="10" fontId="1" fillId="8" borderId="6" xfId="0" applyNumberFormat="1" applyFont="1" applyFill="1" applyBorder="1"/>
    <xf numFmtId="0" fontId="6" fillId="2" borderId="39" xfId="0" applyFont="1" applyFill="1" applyBorder="1" applyAlignment="1">
      <alignment horizontal="right"/>
    </xf>
    <xf numFmtId="0" fontId="2" fillId="2" borderId="40" xfId="0" applyFont="1" applyFill="1" applyBorder="1" applyAlignment="1">
      <alignment horizontal="center" wrapText="1"/>
    </xf>
    <xf numFmtId="0" fontId="2" fillId="2" borderId="33" xfId="0" applyFont="1" applyFill="1" applyBorder="1" applyAlignment="1">
      <alignment horizontal="center" wrapText="1"/>
    </xf>
    <xf numFmtId="0" fontId="2" fillId="2" borderId="36" xfId="0" applyFont="1" applyFill="1" applyBorder="1" applyAlignment="1">
      <alignment horizontal="center" wrapText="1"/>
    </xf>
    <xf numFmtId="0" fontId="0" fillId="0" borderId="26" xfId="0" applyBorder="1"/>
    <xf numFmtId="10" fontId="1" fillId="8" borderId="29" xfId="0" applyNumberFormat="1" applyFont="1" applyFill="1" applyBorder="1"/>
    <xf numFmtId="4" fontId="1" fillId="8" borderId="29" xfId="0" applyNumberFormat="1" applyFont="1" applyFill="1" applyBorder="1"/>
    <xf numFmtId="4" fontId="1" fillId="8" borderId="38" xfId="0" applyNumberFormat="1" applyFont="1" applyFill="1" applyBorder="1"/>
    <xf numFmtId="0" fontId="19" fillId="0" borderId="0" xfId="0" applyFont="1" applyAlignment="1">
      <alignment horizontal="left"/>
    </xf>
    <xf numFmtId="0" fontId="0" fillId="11" borderId="0" xfId="0" applyFill="1"/>
    <xf numFmtId="10" fontId="0" fillId="0" borderId="1" xfId="0" applyNumberFormat="1" applyBorder="1" applyAlignment="1">
      <alignment horizontal="center"/>
    </xf>
    <xf numFmtId="0" fontId="0" fillId="0" borderId="0" xfId="0" applyAlignment="1">
      <alignment horizontal="left"/>
    </xf>
    <xf numFmtId="15" fontId="0" fillId="0" borderId="1" xfId="0" applyNumberFormat="1" applyBorder="1" applyAlignment="1">
      <alignment horizontal="left" vertical="top" wrapText="1"/>
    </xf>
    <xf numFmtId="0" fontId="11" fillId="2" borderId="8" xfId="0" applyFont="1" applyFill="1" applyBorder="1" applyAlignment="1">
      <alignment horizontal="left" vertical="center" wrapText="1"/>
    </xf>
    <xf numFmtId="0" fontId="9" fillId="2" borderId="0" xfId="0" applyFont="1" applyFill="1" applyAlignment="1">
      <alignment horizontal="left" vertical="center" wrapText="1" indent="1"/>
    </xf>
    <xf numFmtId="0" fontId="9" fillId="2" borderId="0" xfId="0" applyFont="1" applyFill="1" applyAlignment="1">
      <alignment horizontal="center" vertical="center" wrapText="1"/>
    </xf>
    <xf numFmtId="0" fontId="0" fillId="0" borderId="1" xfId="0" applyBorder="1" applyAlignment="1">
      <alignment vertical="top" wrapText="1"/>
    </xf>
    <xf numFmtId="0" fontId="0" fillId="0" borderId="0" xfId="0"/>
    <xf numFmtId="0" fontId="2" fillId="2" borderId="15" xfId="0" applyFont="1" applyFill="1" applyBorder="1" applyAlignment="1">
      <alignment horizontal="center" vertical="center"/>
    </xf>
    <xf numFmtId="0" fontId="2" fillId="2" borderId="23"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16" fillId="6" borderId="0" xfId="0" applyFont="1" applyFill="1" applyAlignment="1">
      <alignment horizontal="center" vertical="center"/>
    </xf>
    <xf numFmtId="0" fontId="6" fillId="2" borderId="34" xfId="0" applyFont="1" applyFill="1" applyBorder="1" applyAlignment="1">
      <alignment horizontal="right"/>
    </xf>
    <xf numFmtId="0" fontId="6" fillId="2" borderId="35" xfId="0" applyFont="1" applyFill="1" applyBorder="1" applyAlignment="1">
      <alignment horizontal="right"/>
    </xf>
    <xf numFmtId="0" fontId="6" fillId="2" borderId="0" xfId="0" applyFont="1" applyFill="1" applyAlignment="1">
      <alignment horizontal="right"/>
    </xf>
    <xf numFmtId="0" fontId="6" fillId="2" borderId="8" xfId="0" applyFont="1" applyFill="1" applyBorder="1" applyAlignment="1">
      <alignment horizontal="right"/>
    </xf>
    <xf numFmtId="0" fontId="6" fillId="2" borderId="0" xfId="0" applyFont="1" applyFill="1" applyAlignment="1">
      <alignment horizontal="right" wrapText="1"/>
    </xf>
    <xf numFmtId="0" fontId="6" fillId="2" borderId="8" xfId="0" applyFont="1" applyFill="1" applyBorder="1" applyAlignment="1">
      <alignment horizontal="right" wrapText="1"/>
    </xf>
    <xf numFmtId="0" fontId="20" fillId="2" borderId="0" xfId="0" applyFont="1" applyFill="1" applyAlignment="1">
      <alignment horizontal="right" wrapText="1"/>
    </xf>
    <xf numFmtId="0" fontId="20" fillId="2" borderId="8" xfId="0" applyFont="1" applyFill="1" applyBorder="1" applyAlignment="1">
      <alignment horizontal="right" wrapText="1"/>
    </xf>
    <xf numFmtId="0" fontId="2" fillId="2" borderId="30"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6" fillId="2" borderId="5" xfId="0" applyFont="1" applyFill="1" applyBorder="1" applyAlignment="1">
      <alignment horizontal="right"/>
    </xf>
    <xf numFmtId="0" fontId="6" fillId="2" borderId="7" xfId="0" applyFont="1" applyFill="1" applyBorder="1" applyAlignment="1">
      <alignment horizontal="right"/>
    </xf>
    <xf numFmtId="0" fontId="6" fillId="2" borderId="6" xfId="0" applyFont="1" applyFill="1" applyBorder="1" applyAlignment="1">
      <alignment horizontal="right"/>
    </xf>
    <xf numFmtId="0" fontId="6" fillId="2" borderId="5" xfId="0" applyFont="1" applyFill="1" applyBorder="1" applyAlignment="1">
      <alignment horizontal="right" vertical="center" wrapText="1"/>
    </xf>
    <xf numFmtId="0" fontId="6" fillId="2" borderId="7" xfId="0" applyFont="1" applyFill="1" applyBorder="1" applyAlignment="1">
      <alignment horizontal="right" vertical="center" wrapText="1"/>
    </xf>
    <xf numFmtId="0" fontId="6" fillId="2" borderId="6" xfId="0" applyFont="1" applyFill="1" applyBorder="1" applyAlignment="1">
      <alignment horizontal="right" vertical="center" wrapText="1"/>
    </xf>
    <xf numFmtId="0" fontId="11" fillId="2" borderId="8" xfId="0" applyFont="1" applyFill="1" applyBorder="1" applyAlignment="1">
      <alignment horizontal="center" vertical="center"/>
    </xf>
    <xf numFmtId="0" fontId="11" fillId="2" borderId="12" xfId="0" applyFont="1" applyFill="1" applyBorder="1" applyAlignment="1">
      <alignment horizontal="center" vertical="center"/>
    </xf>
    <xf numFmtId="0" fontId="2" fillId="2" borderId="9" xfId="0" applyFont="1" applyFill="1" applyBorder="1" applyAlignment="1">
      <alignment horizontal="center" wrapText="1"/>
    </xf>
    <xf numFmtId="0" fontId="2" fillId="2" borderId="0" xfId="0" applyFont="1" applyFill="1" applyAlignment="1">
      <alignment horizontal="center" wrapText="1"/>
    </xf>
  </cellXfs>
  <cellStyles count="3">
    <cellStyle name="Comma" xfId="2" builtinId="3"/>
    <cellStyle name="Normal" xfId="0" builtinId="0"/>
    <cellStyle name="Percent" xfId="1" builtinId="5"/>
  </cellStyles>
  <dxfs count="85">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b/>
        <color rgb="FFFFFFFF"/>
      </font>
      <fill>
        <patternFill>
          <bgColor rgb="FFFF0000"/>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C00000"/>
      </font>
      <fill>
        <patternFill>
          <bgColor theme="0" tint="-4.9989318521683403E-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C00000"/>
      </font>
      <fill>
        <patternFill>
          <bgColor theme="5" tint="0.39994506668294322"/>
        </patternFill>
      </fill>
    </dxf>
    <dxf>
      <font>
        <color rgb="FFC00000"/>
      </font>
      <fill>
        <patternFill>
          <bgColor theme="5" tint="0.39994506668294322"/>
        </patternFill>
      </fill>
    </dxf>
    <dxf>
      <font>
        <color rgb="FFC00000"/>
      </font>
      <fill>
        <patternFill>
          <bgColor theme="5" tint="0.39994506668294322"/>
        </patternFill>
      </fill>
    </dxf>
    <dxf>
      <font>
        <color rgb="FFC00000"/>
      </font>
      <fill>
        <patternFill>
          <bgColor theme="5" tint="0.39994506668294322"/>
        </patternFill>
      </fill>
    </dxf>
    <dxf>
      <font>
        <color rgb="FFC00000"/>
      </font>
      <fill>
        <patternFill>
          <bgColor theme="5" tint="0.39994506668294322"/>
        </patternFill>
      </fill>
    </dxf>
    <dxf>
      <font>
        <color rgb="FFC00000"/>
      </font>
      <fill>
        <patternFill>
          <bgColor theme="5" tint="0.39994506668294322"/>
        </patternFill>
      </fill>
    </dxf>
    <dxf>
      <font>
        <color rgb="FFC00000"/>
      </font>
      <fill>
        <patternFill>
          <bgColor theme="5" tint="0.39994506668294322"/>
        </patternFill>
      </fill>
    </dxf>
    <dxf>
      <font>
        <color rgb="FFC00000"/>
      </font>
      <fill>
        <patternFill>
          <bgColor theme="5" tint="0.39994506668294322"/>
        </patternFill>
      </fill>
    </dxf>
    <dxf>
      <font>
        <color rgb="FFC00000"/>
      </font>
      <fill>
        <patternFill>
          <bgColor theme="5" tint="0.39994506668294322"/>
        </patternFill>
      </fill>
    </dxf>
    <dxf>
      <font>
        <color rgb="FFC00000"/>
      </font>
      <fill>
        <patternFill>
          <bgColor theme="5" tint="0.39994506668294322"/>
        </patternFill>
      </fill>
    </dxf>
    <dxf>
      <font>
        <color rgb="FFC00000"/>
      </font>
      <fill>
        <patternFill patternType="solid">
          <bgColor theme="5"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color rgb="FFFFFFFF"/>
      </font>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2.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3.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4.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5.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6.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7.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8.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9.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20.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21.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N+1</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1"/>
          <c:tx>
            <c:strRef>
              <c:f>'N+1 '!$A$31</c:f>
              <c:strCache>
                <c:ptCount val="1"/>
                <c:pt idx="0">
                  <c:v>payment applications cumulative</c:v>
                </c:pt>
              </c:strCache>
            </c:strRef>
          </c:tx>
          <c:spPr>
            <a:solidFill>
              <a:schemeClr val="accent2"/>
            </a:solidFill>
            <a:ln>
              <a:noFill/>
            </a:ln>
            <a:effectLst/>
          </c:spPr>
          <c:invertIfNegative val="0"/>
          <c:cat>
            <c:numRef>
              <c:f>'N+1 '!$B$29:$I$29</c:f>
              <c:numCache>
                <c:formatCode>General</c:formatCode>
                <c:ptCount val="8"/>
                <c:pt idx="0">
                  <c:v>2028</c:v>
                </c:pt>
                <c:pt idx="1">
                  <c:v>2029</c:v>
                </c:pt>
                <c:pt idx="2">
                  <c:v>2030</c:v>
                </c:pt>
                <c:pt idx="3">
                  <c:v>2031</c:v>
                </c:pt>
                <c:pt idx="4">
                  <c:v>2032</c:v>
                </c:pt>
                <c:pt idx="5">
                  <c:v>2033</c:v>
                </c:pt>
                <c:pt idx="6">
                  <c:v>2034</c:v>
                </c:pt>
                <c:pt idx="7">
                  <c:v>2035</c:v>
                </c:pt>
              </c:numCache>
            </c:numRef>
          </c:cat>
          <c:val>
            <c:numRef>
              <c:f>'N+1 '!$B$31:$I$31</c:f>
              <c:numCache>
                <c:formatCode>_(* #,##0.00_);_(* \(#,##0.00\);_(* "-"??_);_(@_)</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00F-4997-857E-DDF1D75A12F2}"/>
            </c:ext>
          </c:extLst>
        </c:ser>
        <c:dLbls>
          <c:showLegendKey val="0"/>
          <c:showVal val="0"/>
          <c:showCatName val="0"/>
          <c:showSerName val="0"/>
          <c:showPercent val="0"/>
          <c:showBubbleSize val="0"/>
        </c:dLbls>
        <c:gapWidth val="219"/>
        <c:axId val="1048127952"/>
        <c:axId val="1048130832"/>
      </c:barChart>
      <c:lineChart>
        <c:grouping val="standard"/>
        <c:varyColors val="0"/>
        <c:ser>
          <c:idx val="0"/>
          <c:order val="0"/>
          <c:tx>
            <c:strRef>
              <c:f>'N+1 '!$A$30</c:f>
              <c:strCache>
                <c:ptCount val="1"/>
                <c:pt idx="0">
                  <c:v>cumulative decommitment target</c:v>
                </c:pt>
              </c:strCache>
            </c:strRef>
          </c:tx>
          <c:spPr>
            <a:ln w="28575" cap="rnd">
              <a:solidFill>
                <a:schemeClr val="accent1"/>
              </a:solidFill>
              <a:round/>
            </a:ln>
            <a:effectLst/>
          </c:spPr>
          <c:marker>
            <c:symbol val="none"/>
          </c:marker>
          <c:cat>
            <c:numRef>
              <c:f>'N+1 '!$B$29:$I$29</c:f>
              <c:numCache>
                <c:formatCode>General</c:formatCode>
                <c:ptCount val="8"/>
                <c:pt idx="0">
                  <c:v>2028</c:v>
                </c:pt>
                <c:pt idx="1">
                  <c:v>2029</c:v>
                </c:pt>
                <c:pt idx="2">
                  <c:v>2030</c:v>
                </c:pt>
                <c:pt idx="3">
                  <c:v>2031</c:v>
                </c:pt>
                <c:pt idx="4">
                  <c:v>2032</c:v>
                </c:pt>
                <c:pt idx="5">
                  <c:v>2033</c:v>
                </c:pt>
                <c:pt idx="6">
                  <c:v>2034</c:v>
                </c:pt>
                <c:pt idx="7">
                  <c:v>2035</c:v>
                </c:pt>
              </c:numCache>
            </c:numRef>
          </c:cat>
          <c:val>
            <c:numRef>
              <c:f>'N+1 '!$B$30:$I$30</c:f>
              <c:numCache>
                <c:formatCode>_(* #,##0.00_);_(* \(#,##0.00\);_(* "-"??_);_(@_)</c:formatCode>
                <c:ptCount val="8"/>
                <c:pt idx="0">
                  <c:v>0</c:v>
                </c:pt>
                <c:pt idx="1">
                  <c:v>0</c:v>
                </c:pt>
                <c:pt idx="2">
                  <c:v>0</c:v>
                </c:pt>
                <c:pt idx="3">
                  <c:v>0</c:v>
                </c:pt>
                <c:pt idx="4">
                  <c:v>0</c:v>
                </c:pt>
                <c:pt idx="5">
                  <c:v>0</c:v>
                </c:pt>
                <c:pt idx="6">
                  <c:v>0</c:v>
                </c:pt>
                <c:pt idx="7">
                  <c:v>0</c:v>
                </c:pt>
              </c:numCache>
            </c:numRef>
          </c:val>
          <c:smooth val="0"/>
          <c:extLst>
            <c:ext xmlns:c16="http://schemas.microsoft.com/office/drawing/2014/chart" uri="{C3380CC4-5D6E-409C-BE32-E72D297353CC}">
              <c16:uniqueId val="{00000001-800F-4997-857E-DDF1D75A12F2}"/>
            </c:ext>
          </c:extLst>
        </c:ser>
        <c:dLbls>
          <c:showLegendKey val="0"/>
          <c:showVal val="0"/>
          <c:showCatName val="0"/>
          <c:showSerName val="0"/>
          <c:showPercent val="0"/>
          <c:showBubbleSize val="0"/>
        </c:dLbls>
        <c:marker val="1"/>
        <c:smooth val="0"/>
        <c:axId val="1048127952"/>
        <c:axId val="1048130832"/>
      </c:lineChart>
      <c:catAx>
        <c:axId val="10481279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8130832"/>
        <c:crosses val="autoZero"/>
        <c:auto val="1"/>
        <c:lblAlgn val="ctr"/>
        <c:lblOffset val="100"/>
        <c:noMultiLvlLbl val="0"/>
      </c:catAx>
      <c:valAx>
        <c:axId val="1048130832"/>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81279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When the ceilings apply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'N+1 '!$O$65</c:f>
              <c:strCache>
                <c:ptCount val="1"/>
                <c:pt idx="0">
                  <c:v>inflows cumulative (calculative)</c:v>
                </c:pt>
              </c:strCache>
            </c:strRef>
          </c:tx>
          <c:spPr>
            <a:solidFill>
              <a:schemeClr val="accent1"/>
            </a:solidFill>
            <a:ln>
              <a:noFill/>
            </a:ln>
            <a:effectLst/>
          </c:spPr>
          <c:invertIfNegative val="0"/>
          <c:cat>
            <c:numRef>
              <c:f>'N+1 '!$P$62:$W$62</c:f>
              <c:numCache>
                <c:formatCode>General</c:formatCode>
                <c:ptCount val="8"/>
                <c:pt idx="0">
                  <c:v>2028</c:v>
                </c:pt>
                <c:pt idx="1">
                  <c:v>2029</c:v>
                </c:pt>
                <c:pt idx="2">
                  <c:v>2030</c:v>
                </c:pt>
                <c:pt idx="3">
                  <c:v>2031</c:v>
                </c:pt>
                <c:pt idx="4">
                  <c:v>2032</c:v>
                </c:pt>
                <c:pt idx="5">
                  <c:v>2033</c:v>
                </c:pt>
                <c:pt idx="6">
                  <c:v>2034</c:v>
                </c:pt>
                <c:pt idx="7">
                  <c:v>2035</c:v>
                </c:pt>
              </c:numCache>
            </c:numRef>
          </c:cat>
          <c:val>
            <c:numRef>
              <c:f>'N+1 '!$P$65:$W$65</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6B9E-4BB0-8406-ACD21F2FC778}"/>
            </c:ext>
          </c:extLst>
        </c:ser>
        <c:dLbls>
          <c:showLegendKey val="0"/>
          <c:showVal val="0"/>
          <c:showCatName val="0"/>
          <c:showSerName val="0"/>
          <c:showPercent val="0"/>
          <c:showBubbleSize val="0"/>
        </c:dLbls>
        <c:gapWidth val="219"/>
        <c:overlap val="-27"/>
        <c:axId val="967319072"/>
        <c:axId val="908829536"/>
      </c:barChart>
      <c:lineChart>
        <c:grouping val="standard"/>
        <c:varyColors val="0"/>
        <c:ser>
          <c:idx val="1"/>
          <c:order val="1"/>
          <c:tx>
            <c:strRef>
              <c:f>'N+1 '!$O$66</c:f>
              <c:strCache>
                <c:ptCount val="1"/>
                <c:pt idx="0">
                  <c:v>Clearing of pre-financing at</c:v>
                </c:pt>
              </c:strCache>
            </c:strRef>
          </c:tx>
          <c:spPr>
            <a:ln w="28575" cap="rnd">
              <a:solidFill>
                <a:schemeClr val="accent2"/>
              </a:solidFill>
              <a:round/>
            </a:ln>
            <a:effectLst/>
          </c:spPr>
          <c:marker>
            <c:symbol val="none"/>
          </c:marker>
          <c:cat>
            <c:numRef>
              <c:f>'N+1 '!$P$62:$W$62</c:f>
              <c:numCache>
                <c:formatCode>General</c:formatCode>
                <c:ptCount val="8"/>
                <c:pt idx="0">
                  <c:v>2028</c:v>
                </c:pt>
                <c:pt idx="1">
                  <c:v>2029</c:v>
                </c:pt>
                <c:pt idx="2">
                  <c:v>2030</c:v>
                </c:pt>
                <c:pt idx="3">
                  <c:v>2031</c:v>
                </c:pt>
                <c:pt idx="4">
                  <c:v>2032</c:v>
                </c:pt>
                <c:pt idx="5">
                  <c:v>2033</c:v>
                </c:pt>
                <c:pt idx="6">
                  <c:v>2034</c:v>
                </c:pt>
                <c:pt idx="7">
                  <c:v>2035</c:v>
                </c:pt>
              </c:numCache>
            </c:numRef>
          </c:cat>
          <c:val>
            <c:numRef>
              <c:f>'N+1 '!$P$66:$W$66</c:f>
              <c:numCache>
                <c:formatCode>#,##0</c:formatCode>
                <c:ptCount val="8"/>
                <c:pt idx="0">
                  <c:v>0</c:v>
                </c:pt>
                <c:pt idx="1">
                  <c:v>0</c:v>
                </c:pt>
                <c:pt idx="2">
                  <c:v>0</c:v>
                </c:pt>
                <c:pt idx="3">
                  <c:v>0</c:v>
                </c:pt>
                <c:pt idx="4">
                  <c:v>0</c:v>
                </c:pt>
                <c:pt idx="5">
                  <c:v>0</c:v>
                </c:pt>
                <c:pt idx="6">
                  <c:v>0</c:v>
                </c:pt>
                <c:pt idx="7">
                  <c:v>0</c:v>
                </c:pt>
              </c:numCache>
            </c:numRef>
          </c:val>
          <c:smooth val="0"/>
          <c:extLst>
            <c:ext xmlns:c16="http://schemas.microsoft.com/office/drawing/2014/chart" uri="{C3380CC4-5D6E-409C-BE32-E72D297353CC}">
              <c16:uniqueId val="{00000001-6B9E-4BB0-8406-ACD21F2FC778}"/>
            </c:ext>
          </c:extLst>
        </c:ser>
        <c:ser>
          <c:idx val="2"/>
          <c:order val="2"/>
          <c:tx>
            <c:strRef>
              <c:f>'N+1 '!$O$67</c:f>
              <c:strCache>
                <c:ptCount val="1"/>
                <c:pt idx="0">
                  <c:v>Payment ceiling at 95%</c:v>
                </c:pt>
              </c:strCache>
            </c:strRef>
          </c:tx>
          <c:spPr>
            <a:ln w="28575" cap="rnd">
              <a:solidFill>
                <a:schemeClr val="accent3"/>
              </a:solidFill>
              <a:round/>
            </a:ln>
            <a:effectLst/>
          </c:spPr>
          <c:marker>
            <c:symbol val="none"/>
          </c:marker>
          <c:cat>
            <c:numRef>
              <c:f>'N+1 '!$P$62:$W$62</c:f>
              <c:numCache>
                <c:formatCode>General</c:formatCode>
                <c:ptCount val="8"/>
                <c:pt idx="0">
                  <c:v>2028</c:v>
                </c:pt>
                <c:pt idx="1">
                  <c:v>2029</c:v>
                </c:pt>
                <c:pt idx="2">
                  <c:v>2030</c:v>
                </c:pt>
                <c:pt idx="3">
                  <c:v>2031</c:v>
                </c:pt>
                <c:pt idx="4">
                  <c:v>2032</c:v>
                </c:pt>
                <c:pt idx="5">
                  <c:v>2033</c:v>
                </c:pt>
                <c:pt idx="6">
                  <c:v>2034</c:v>
                </c:pt>
                <c:pt idx="7">
                  <c:v>2035</c:v>
                </c:pt>
              </c:numCache>
            </c:numRef>
          </c:cat>
          <c:val>
            <c:numRef>
              <c:f>'N+1 '!$P$67:$W$67</c:f>
              <c:numCache>
                <c:formatCode>#,##0</c:formatCode>
                <c:ptCount val="8"/>
                <c:pt idx="0">
                  <c:v>0</c:v>
                </c:pt>
                <c:pt idx="1">
                  <c:v>0</c:v>
                </c:pt>
                <c:pt idx="2">
                  <c:v>0</c:v>
                </c:pt>
                <c:pt idx="3">
                  <c:v>0</c:v>
                </c:pt>
                <c:pt idx="4">
                  <c:v>0</c:v>
                </c:pt>
                <c:pt idx="5">
                  <c:v>0</c:v>
                </c:pt>
                <c:pt idx="6">
                  <c:v>0</c:v>
                </c:pt>
                <c:pt idx="7">
                  <c:v>0</c:v>
                </c:pt>
              </c:numCache>
            </c:numRef>
          </c:val>
          <c:smooth val="0"/>
          <c:extLst>
            <c:ext xmlns:c16="http://schemas.microsoft.com/office/drawing/2014/chart" uri="{C3380CC4-5D6E-409C-BE32-E72D297353CC}">
              <c16:uniqueId val="{00000002-6B9E-4BB0-8406-ACD21F2FC778}"/>
            </c:ext>
          </c:extLst>
        </c:ser>
        <c:ser>
          <c:idx val="3"/>
          <c:order val="3"/>
          <c:tx>
            <c:strRef>
              <c:f>'N+1 '!$O$68</c:f>
              <c:strCache>
                <c:ptCount val="1"/>
                <c:pt idx="0">
                  <c:v>programme budget</c:v>
                </c:pt>
              </c:strCache>
            </c:strRef>
          </c:tx>
          <c:spPr>
            <a:ln w="28575" cap="rnd">
              <a:solidFill>
                <a:schemeClr val="accent4"/>
              </a:solidFill>
              <a:round/>
            </a:ln>
            <a:effectLst/>
          </c:spPr>
          <c:marker>
            <c:symbol val="none"/>
          </c:marker>
          <c:cat>
            <c:numRef>
              <c:f>'N+1 '!$P$62:$W$62</c:f>
              <c:numCache>
                <c:formatCode>General</c:formatCode>
                <c:ptCount val="8"/>
                <c:pt idx="0">
                  <c:v>2028</c:v>
                </c:pt>
                <c:pt idx="1">
                  <c:v>2029</c:v>
                </c:pt>
                <c:pt idx="2">
                  <c:v>2030</c:v>
                </c:pt>
                <c:pt idx="3">
                  <c:v>2031</c:v>
                </c:pt>
                <c:pt idx="4">
                  <c:v>2032</c:v>
                </c:pt>
                <c:pt idx="5">
                  <c:v>2033</c:v>
                </c:pt>
                <c:pt idx="6">
                  <c:v>2034</c:v>
                </c:pt>
                <c:pt idx="7">
                  <c:v>2035</c:v>
                </c:pt>
              </c:numCache>
            </c:numRef>
          </c:cat>
          <c:val>
            <c:numRef>
              <c:f>'N+1 '!$P$68:$W$68</c:f>
              <c:numCache>
                <c:formatCode>#,##0</c:formatCode>
                <c:ptCount val="8"/>
                <c:pt idx="0">
                  <c:v>0</c:v>
                </c:pt>
                <c:pt idx="1">
                  <c:v>0</c:v>
                </c:pt>
                <c:pt idx="2">
                  <c:v>0</c:v>
                </c:pt>
                <c:pt idx="3">
                  <c:v>0</c:v>
                </c:pt>
                <c:pt idx="4">
                  <c:v>0</c:v>
                </c:pt>
                <c:pt idx="5">
                  <c:v>0</c:v>
                </c:pt>
                <c:pt idx="6">
                  <c:v>0</c:v>
                </c:pt>
                <c:pt idx="7">
                  <c:v>0</c:v>
                </c:pt>
              </c:numCache>
            </c:numRef>
          </c:val>
          <c:smooth val="0"/>
          <c:extLst>
            <c:ext xmlns:c16="http://schemas.microsoft.com/office/drawing/2014/chart" uri="{C3380CC4-5D6E-409C-BE32-E72D297353CC}">
              <c16:uniqueId val="{00000003-6B9E-4BB0-8406-ACD21F2FC778}"/>
            </c:ext>
          </c:extLst>
        </c:ser>
        <c:dLbls>
          <c:showLegendKey val="0"/>
          <c:showVal val="0"/>
          <c:showCatName val="0"/>
          <c:showSerName val="0"/>
          <c:showPercent val="0"/>
          <c:showBubbleSize val="0"/>
        </c:dLbls>
        <c:marker val="1"/>
        <c:smooth val="0"/>
        <c:axId val="967319072"/>
        <c:axId val="908829536"/>
      </c:lineChart>
      <c:catAx>
        <c:axId val="9673190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8829536"/>
        <c:crosses val="autoZero"/>
        <c:auto val="1"/>
        <c:lblAlgn val="ctr"/>
        <c:lblOffset val="100"/>
        <c:noMultiLvlLbl val="0"/>
      </c:catAx>
      <c:valAx>
        <c:axId val="9088295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73190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Payments</a:t>
            </a:r>
            <a:r>
              <a:rPr lang="en-GB" baseline="0"/>
              <a:t> from COM and ceilings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barChart>
        <c:barDir val="col"/>
        <c:grouping val="clustered"/>
        <c:varyColors val="0"/>
        <c:ser>
          <c:idx val="0"/>
          <c:order val="0"/>
          <c:tx>
            <c:strRef>
              <c:f>'N+1 '!$O$36</c:f>
              <c:strCache>
                <c:ptCount val="1"/>
                <c:pt idx="0">
                  <c:v>cumulative payments from COM</c:v>
                </c:pt>
              </c:strCache>
            </c:strRef>
          </c:tx>
          <c:spPr>
            <a:solidFill>
              <a:schemeClr val="accent1"/>
            </a:solidFill>
            <a:ln>
              <a:noFill/>
            </a:ln>
            <a:effectLst/>
          </c:spPr>
          <c:invertIfNegative val="0"/>
          <c:cat>
            <c:strRef>
              <c:f>'N+1 '!$P$35:$X$35</c:f>
              <c:strCache>
                <c:ptCount val="9"/>
                <c:pt idx="0">
                  <c:v>2028</c:v>
                </c:pt>
                <c:pt idx="1">
                  <c:v>2029</c:v>
                </c:pt>
                <c:pt idx="2">
                  <c:v>2030</c:v>
                </c:pt>
                <c:pt idx="3">
                  <c:v>2031</c:v>
                </c:pt>
                <c:pt idx="4">
                  <c:v>2032</c:v>
                </c:pt>
                <c:pt idx="5">
                  <c:v>2033</c:v>
                </c:pt>
                <c:pt idx="6">
                  <c:v>2034</c:v>
                </c:pt>
                <c:pt idx="7">
                  <c:v>2035</c:v>
                </c:pt>
                <c:pt idx="8">
                  <c:v>after closure</c:v>
                </c:pt>
              </c:strCache>
            </c:strRef>
          </c:cat>
          <c:val>
            <c:numRef>
              <c:f>'N+1 '!$P$36:$X$36</c:f>
              <c:numCache>
                <c:formatCode>General</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F421-481C-8A4D-A7203996114D}"/>
            </c:ext>
          </c:extLst>
        </c:ser>
        <c:dLbls>
          <c:showLegendKey val="0"/>
          <c:showVal val="0"/>
          <c:showCatName val="0"/>
          <c:showSerName val="0"/>
          <c:showPercent val="0"/>
          <c:showBubbleSize val="0"/>
        </c:dLbls>
        <c:gapWidth val="219"/>
        <c:overlap val="-27"/>
        <c:axId val="949828080"/>
        <c:axId val="1044399680"/>
      </c:barChart>
      <c:lineChart>
        <c:grouping val="standard"/>
        <c:varyColors val="0"/>
        <c:ser>
          <c:idx val="1"/>
          <c:order val="1"/>
          <c:tx>
            <c:strRef>
              <c:f>'N+1 '!$O$37</c:f>
              <c:strCache>
                <c:ptCount val="1"/>
                <c:pt idx="0">
                  <c:v>Clearing of pre-financing </c:v>
                </c:pt>
              </c:strCache>
            </c:strRef>
          </c:tx>
          <c:spPr>
            <a:ln w="28575" cap="rnd">
              <a:solidFill>
                <a:schemeClr val="accent2"/>
              </a:solidFill>
              <a:round/>
            </a:ln>
            <a:effectLst/>
          </c:spPr>
          <c:marker>
            <c:symbol val="none"/>
          </c:marker>
          <c:cat>
            <c:strRef>
              <c:f>'N+1 '!$P$35:$X$35</c:f>
              <c:strCache>
                <c:ptCount val="9"/>
                <c:pt idx="0">
                  <c:v>2028</c:v>
                </c:pt>
                <c:pt idx="1">
                  <c:v>2029</c:v>
                </c:pt>
                <c:pt idx="2">
                  <c:v>2030</c:v>
                </c:pt>
                <c:pt idx="3">
                  <c:v>2031</c:v>
                </c:pt>
                <c:pt idx="4">
                  <c:v>2032</c:v>
                </c:pt>
                <c:pt idx="5">
                  <c:v>2033</c:v>
                </c:pt>
                <c:pt idx="6">
                  <c:v>2034</c:v>
                </c:pt>
                <c:pt idx="7">
                  <c:v>2035</c:v>
                </c:pt>
                <c:pt idx="8">
                  <c:v>after closure</c:v>
                </c:pt>
              </c:strCache>
            </c:strRef>
          </c:cat>
          <c:val>
            <c:numRef>
              <c:f>'N+1 '!$P$37:$X$37</c:f>
              <c:numCache>
                <c:formatCode>General</c:formatCode>
                <c:ptCount val="9"/>
                <c:pt idx="0">
                  <c:v>0</c:v>
                </c:pt>
                <c:pt idx="1">
                  <c:v>0</c:v>
                </c:pt>
                <c:pt idx="2">
                  <c:v>0</c:v>
                </c:pt>
                <c:pt idx="3">
                  <c:v>0</c:v>
                </c:pt>
                <c:pt idx="4">
                  <c:v>0</c:v>
                </c:pt>
                <c:pt idx="5">
                  <c:v>0</c:v>
                </c:pt>
                <c:pt idx="6">
                  <c:v>0</c:v>
                </c:pt>
                <c:pt idx="7">
                  <c:v>0</c:v>
                </c:pt>
                <c:pt idx="8">
                  <c:v>0</c:v>
                </c:pt>
              </c:numCache>
            </c:numRef>
          </c:val>
          <c:smooth val="0"/>
          <c:extLst>
            <c:ext xmlns:c16="http://schemas.microsoft.com/office/drawing/2014/chart" uri="{C3380CC4-5D6E-409C-BE32-E72D297353CC}">
              <c16:uniqueId val="{00000001-F421-481C-8A4D-A7203996114D}"/>
            </c:ext>
          </c:extLst>
        </c:ser>
        <c:ser>
          <c:idx val="2"/>
          <c:order val="2"/>
          <c:tx>
            <c:strRef>
              <c:f>'N+1 '!$O$38</c:f>
              <c:strCache>
                <c:ptCount val="1"/>
                <c:pt idx="0">
                  <c:v>Payment ceiling at 95%</c:v>
                </c:pt>
              </c:strCache>
            </c:strRef>
          </c:tx>
          <c:spPr>
            <a:ln w="28575" cap="rnd">
              <a:solidFill>
                <a:schemeClr val="accent3"/>
              </a:solidFill>
              <a:round/>
            </a:ln>
            <a:effectLst/>
          </c:spPr>
          <c:marker>
            <c:symbol val="none"/>
          </c:marker>
          <c:cat>
            <c:strRef>
              <c:f>'N+1 '!$P$35:$X$35</c:f>
              <c:strCache>
                <c:ptCount val="9"/>
                <c:pt idx="0">
                  <c:v>2028</c:v>
                </c:pt>
                <c:pt idx="1">
                  <c:v>2029</c:v>
                </c:pt>
                <c:pt idx="2">
                  <c:v>2030</c:v>
                </c:pt>
                <c:pt idx="3">
                  <c:v>2031</c:v>
                </c:pt>
                <c:pt idx="4">
                  <c:v>2032</c:v>
                </c:pt>
                <c:pt idx="5">
                  <c:v>2033</c:v>
                </c:pt>
                <c:pt idx="6">
                  <c:v>2034</c:v>
                </c:pt>
                <c:pt idx="7">
                  <c:v>2035</c:v>
                </c:pt>
                <c:pt idx="8">
                  <c:v>after closure</c:v>
                </c:pt>
              </c:strCache>
            </c:strRef>
          </c:cat>
          <c:val>
            <c:numRef>
              <c:f>'N+1 '!$P$38:$X$38</c:f>
              <c:numCache>
                <c:formatCode>General</c:formatCode>
                <c:ptCount val="9"/>
                <c:pt idx="0">
                  <c:v>0</c:v>
                </c:pt>
                <c:pt idx="1">
                  <c:v>0</c:v>
                </c:pt>
                <c:pt idx="2">
                  <c:v>0</c:v>
                </c:pt>
                <c:pt idx="3">
                  <c:v>0</c:v>
                </c:pt>
                <c:pt idx="4">
                  <c:v>0</c:v>
                </c:pt>
                <c:pt idx="5">
                  <c:v>0</c:v>
                </c:pt>
                <c:pt idx="6">
                  <c:v>0</c:v>
                </c:pt>
                <c:pt idx="7">
                  <c:v>0</c:v>
                </c:pt>
                <c:pt idx="8">
                  <c:v>0</c:v>
                </c:pt>
              </c:numCache>
            </c:numRef>
          </c:val>
          <c:smooth val="0"/>
          <c:extLst>
            <c:ext xmlns:c16="http://schemas.microsoft.com/office/drawing/2014/chart" uri="{C3380CC4-5D6E-409C-BE32-E72D297353CC}">
              <c16:uniqueId val="{00000002-F421-481C-8A4D-A7203996114D}"/>
            </c:ext>
          </c:extLst>
        </c:ser>
        <c:ser>
          <c:idx val="3"/>
          <c:order val="3"/>
          <c:tx>
            <c:strRef>
              <c:f>'N+1 '!$O$39</c:f>
              <c:strCache>
                <c:ptCount val="1"/>
                <c:pt idx="0">
                  <c:v>programme budget</c:v>
                </c:pt>
              </c:strCache>
            </c:strRef>
          </c:tx>
          <c:spPr>
            <a:ln w="28575" cap="rnd">
              <a:solidFill>
                <a:schemeClr val="accent4"/>
              </a:solidFill>
              <a:round/>
            </a:ln>
            <a:effectLst/>
          </c:spPr>
          <c:marker>
            <c:symbol val="none"/>
          </c:marker>
          <c:cat>
            <c:strRef>
              <c:f>'N+1 '!$P$35:$X$35</c:f>
              <c:strCache>
                <c:ptCount val="9"/>
                <c:pt idx="0">
                  <c:v>2028</c:v>
                </c:pt>
                <c:pt idx="1">
                  <c:v>2029</c:v>
                </c:pt>
                <c:pt idx="2">
                  <c:v>2030</c:v>
                </c:pt>
                <c:pt idx="3">
                  <c:v>2031</c:v>
                </c:pt>
                <c:pt idx="4">
                  <c:v>2032</c:v>
                </c:pt>
                <c:pt idx="5">
                  <c:v>2033</c:v>
                </c:pt>
                <c:pt idx="6">
                  <c:v>2034</c:v>
                </c:pt>
                <c:pt idx="7">
                  <c:v>2035</c:v>
                </c:pt>
                <c:pt idx="8">
                  <c:v>after closure</c:v>
                </c:pt>
              </c:strCache>
            </c:strRef>
          </c:cat>
          <c:val>
            <c:numRef>
              <c:f>'N+1 '!$P$39:$X$39</c:f>
              <c:numCache>
                <c:formatCode>General</c:formatCode>
                <c:ptCount val="9"/>
                <c:pt idx="0">
                  <c:v>0</c:v>
                </c:pt>
                <c:pt idx="1">
                  <c:v>0</c:v>
                </c:pt>
                <c:pt idx="2">
                  <c:v>0</c:v>
                </c:pt>
                <c:pt idx="3">
                  <c:v>0</c:v>
                </c:pt>
                <c:pt idx="4">
                  <c:v>0</c:v>
                </c:pt>
                <c:pt idx="5">
                  <c:v>0</c:v>
                </c:pt>
                <c:pt idx="6">
                  <c:v>0</c:v>
                </c:pt>
                <c:pt idx="7">
                  <c:v>0</c:v>
                </c:pt>
                <c:pt idx="8">
                  <c:v>0</c:v>
                </c:pt>
              </c:numCache>
            </c:numRef>
          </c:val>
          <c:smooth val="0"/>
          <c:extLst>
            <c:ext xmlns:c16="http://schemas.microsoft.com/office/drawing/2014/chart" uri="{C3380CC4-5D6E-409C-BE32-E72D297353CC}">
              <c16:uniqueId val="{00000003-F421-481C-8A4D-A7203996114D}"/>
            </c:ext>
          </c:extLst>
        </c:ser>
        <c:dLbls>
          <c:showLegendKey val="0"/>
          <c:showVal val="0"/>
          <c:showCatName val="0"/>
          <c:showSerName val="0"/>
          <c:showPercent val="0"/>
          <c:showBubbleSize val="0"/>
        </c:dLbls>
        <c:marker val="1"/>
        <c:smooth val="0"/>
        <c:axId val="949828080"/>
        <c:axId val="1044399680"/>
      </c:lineChart>
      <c:catAx>
        <c:axId val="9498280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4399680"/>
        <c:crosses val="autoZero"/>
        <c:auto val="1"/>
        <c:lblAlgn val="ctr"/>
        <c:lblOffset val="100"/>
        <c:noMultiLvlLbl val="0"/>
      </c:catAx>
      <c:valAx>
        <c:axId val="10443996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98280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Annual inflows = payments from COM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stacked"/>
        <c:varyColors val="0"/>
        <c:ser>
          <c:idx val="0"/>
          <c:order val="0"/>
          <c:tx>
            <c:strRef>
              <c:f>Inflows!$A$42</c:f>
              <c:strCache>
                <c:ptCount val="1"/>
                <c:pt idx="0">
                  <c:v>pre-financing</c:v>
                </c:pt>
              </c:strCache>
            </c:strRef>
          </c:tx>
          <c:spPr>
            <a:solidFill>
              <a:schemeClr val="accent1"/>
            </a:solidFill>
            <a:ln>
              <a:noFill/>
            </a:ln>
            <a:effectLst/>
          </c:spPr>
          <c:invertIfNegative val="0"/>
          <c:cat>
            <c:strRef>
              <c:f>Inflows!$B$41:$J$41</c:f>
              <c:strCache>
                <c:ptCount val="9"/>
                <c:pt idx="0">
                  <c:v>2028</c:v>
                </c:pt>
                <c:pt idx="1">
                  <c:v>2029</c:v>
                </c:pt>
                <c:pt idx="2">
                  <c:v>2030</c:v>
                </c:pt>
                <c:pt idx="3">
                  <c:v>2031</c:v>
                </c:pt>
                <c:pt idx="4">
                  <c:v>2032</c:v>
                </c:pt>
                <c:pt idx="5">
                  <c:v>2033</c:v>
                </c:pt>
                <c:pt idx="6">
                  <c:v>2034</c:v>
                </c:pt>
                <c:pt idx="7">
                  <c:v>2035</c:v>
                </c:pt>
                <c:pt idx="8">
                  <c:v>after closure</c:v>
                </c:pt>
              </c:strCache>
            </c:strRef>
          </c:cat>
          <c:val>
            <c:numRef>
              <c:f>Inflows!$B$42:$J$42</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A350-4787-B6DD-587ECA87F1A4}"/>
            </c:ext>
          </c:extLst>
        </c:ser>
        <c:ser>
          <c:idx val="1"/>
          <c:order val="1"/>
          <c:tx>
            <c:strRef>
              <c:f>Inflows!$A$43</c:f>
              <c:strCache>
                <c:ptCount val="1"/>
                <c:pt idx="0">
                  <c:v>actual interim payments</c:v>
                </c:pt>
              </c:strCache>
            </c:strRef>
          </c:tx>
          <c:spPr>
            <a:solidFill>
              <a:schemeClr val="accent2"/>
            </a:solidFill>
            <a:ln>
              <a:noFill/>
            </a:ln>
            <a:effectLst/>
          </c:spPr>
          <c:invertIfNegative val="0"/>
          <c:cat>
            <c:strRef>
              <c:f>Inflows!$B$41:$J$41</c:f>
              <c:strCache>
                <c:ptCount val="9"/>
                <c:pt idx="0">
                  <c:v>2028</c:v>
                </c:pt>
                <c:pt idx="1">
                  <c:v>2029</c:v>
                </c:pt>
                <c:pt idx="2">
                  <c:v>2030</c:v>
                </c:pt>
                <c:pt idx="3">
                  <c:v>2031</c:v>
                </c:pt>
                <c:pt idx="4">
                  <c:v>2032</c:v>
                </c:pt>
                <c:pt idx="5">
                  <c:v>2033</c:v>
                </c:pt>
                <c:pt idx="6">
                  <c:v>2034</c:v>
                </c:pt>
                <c:pt idx="7">
                  <c:v>2035</c:v>
                </c:pt>
                <c:pt idx="8">
                  <c:v>after closure</c:v>
                </c:pt>
              </c:strCache>
            </c:strRef>
          </c:cat>
          <c:val>
            <c:numRef>
              <c:f>Inflows!$B$43:$J$43</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1-A350-4787-B6DD-587ECA87F1A4}"/>
            </c:ext>
          </c:extLst>
        </c:ser>
        <c:dLbls>
          <c:showLegendKey val="0"/>
          <c:showVal val="0"/>
          <c:showCatName val="0"/>
          <c:showSerName val="0"/>
          <c:showPercent val="0"/>
          <c:showBubbleSize val="0"/>
        </c:dLbls>
        <c:gapWidth val="150"/>
        <c:overlap val="100"/>
        <c:axId val="1384741328"/>
        <c:axId val="1384740368"/>
      </c:barChart>
      <c:catAx>
        <c:axId val="1384741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84740368"/>
        <c:crosses val="autoZero"/>
        <c:auto val="1"/>
        <c:lblAlgn val="ctr"/>
        <c:lblOffset val="100"/>
        <c:noMultiLvlLbl val="0"/>
      </c:catAx>
      <c:valAx>
        <c:axId val="138474036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847413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Cumulative</a:t>
            </a:r>
            <a:r>
              <a:rPr lang="en-GB" baseline="0"/>
              <a:t> inflows = p</a:t>
            </a:r>
            <a:r>
              <a:rPr lang="en-GB"/>
              <a:t>ayments</a:t>
            </a:r>
            <a:r>
              <a:rPr lang="en-GB" baseline="0"/>
              <a:t> from COM and ceilings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barChart>
        <c:barDir val="col"/>
        <c:grouping val="clustered"/>
        <c:varyColors val="0"/>
        <c:ser>
          <c:idx val="0"/>
          <c:order val="0"/>
          <c:tx>
            <c:strRef>
              <c:f>Inflows!$A$54</c:f>
              <c:strCache>
                <c:ptCount val="1"/>
                <c:pt idx="0">
                  <c:v>cumulative payments from COM</c:v>
                </c:pt>
              </c:strCache>
            </c:strRef>
          </c:tx>
          <c:spPr>
            <a:solidFill>
              <a:schemeClr val="accent1"/>
            </a:solidFill>
            <a:ln>
              <a:noFill/>
            </a:ln>
            <a:effectLst/>
          </c:spPr>
          <c:invertIfNegative val="0"/>
          <c:cat>
            <c:strRef>
              <c:f>Inflows!$B$53:$J$53</c:f>
              <c:strCache>
                <c:ptCount val="9"/>
                <c:pt idx="0">
                  <c:v>2028</c:v>
                </c:pt>
                <c:pt idx="1">
                  <c:v>2029</c:v>
                </c:pt>
                <c:pt idx="2">
                  <c:v>2030</c:v>
                </c:pt>
                <c:pt idx="3">
                  <c:v>2031</c:v>
                </c:pt>
                <c:pt idx="4">
                  <c:v>2032</c:v>
                </c:pt>
                <c:pt idx="5">
                  <c:v>2033</c:v>
                </c:pt>
                <c:pt idx="6">
                  <c:v>2034</c:v>
                </c:pt>
                <c:pt idx="7">
                  <c:v>2035</c:v>
                </c:pt>
                <c:pt idx="8">
                  <c:v>after closure</c:v>
                </c:pt>
              </c:strCache>
            </c:strRef>
          </c:cat>
          <c:val>
            <c:numRef>
              <c:f>Inflows!$B$54:$J$54</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591A-4352-A3A0-BE9FEA70047B}"/>
            </c:ext>
          </c:extLst>
        </c:ser>
        <c:dLbls>
          <c:showLegendKey val="0"/>
          <c:showVal val="0"/>
          <c:showCatName val="0"/>
          <c:showSerName val="0"/>
          <c:showPercent val="0"/>
          <c:showBubbleSize val="0"/>
        </c:dLbls>
        <c:gapWidth val="219"/>
        <c:overlap val="-27"/>
        <c:axId val="949828080"/>
        <c:axId val="1044399680"/>
      </c:barChart>
      <c:lineChart>
        <c:grouping val="standard"/>
        <c:varyColors val="0"/>
        <c:ser>
          <c:idx val="1"/>
          <c:order val="1"/>
          <c:tx>
            <c:strRef>
              <c:f>Inflows!$A$57</c:f>
              <c:strCache>
                <c:ptCount val="1"/>
                <c:pt idx="0">
                  <c:v>Clearing of pre-financing </c:v>
                </c:pt>
              </c:strCache>
            </c:strRef>
          </c:tx>
          <c:spPr>
            <a:ln w="28575" cap="rnd">
              <a:solidFill>
                <a:schemeClr val="accent2"/>
              </a:solidFill>
              <a:round/>
            </a:ln>
            <a:effectLst/>
          </c:spPr>
          <c:marker>
            <c:symbol val="none"/>
          </c:marker>
          <c:cat>
            <c:strRef>
              <c:f>Inflows!$B$53:$J$53</c:f>
              <c:strCache>
                <c:ptCount val="9"/>
                <c:pt idx="0">
                  <c:v>2028</c:v>
                </c:pt>
                <c:pt idx="1">
                  <c:v>2029</c:v>
                </c:pt>
                <c:pt idx="2">
                  <c:v>2030</c:v>
                </c:pt>
                <c:pt idx="3">
                  <c:v>2031</c:v>
                </c:pt>
                <c:pt idx="4">
                  <c:v>2032</c:v>
                </c:pt>
                <c:pt idx="5">
                  <c:v>2033</c:v>
                </c:pt>
                <c:pt idx="6">
                  <c:v>2034</c:v>
                </c:pt>
                <c:pt idx="7">
                  <c:v>2035</c:v>
                </c:pt>
                <c:pt idx="8">
                  <c:v>after closure</c:v>
                </c:pt>
              </c:strCache>
            </c:strRef>
          </c:cat>
          <c:val>
            <c:numRef>
              <c:f>Inflows!$B$57:$J$57</c:f>
              <c:numCache>
                <c:formatCode>_(* #,##0.00_);_(* \(#,##0.00\);_(* "-"??_);_(@_)</c:formatCode>
                <c:ptCount val="9"/>
                <c:pt idx="0">
                  <c:v>0</c:v>
                </c:pt>
                <c:pt idx="1">
                  <c:v>0</c:v>
                </c:pt>
                <c:pt idx="2">
                  <c:v>0</c:v>
                </c:pt>
                <c:pt idx="3">
                  <c:v>0</c:v>
                </c:pt>
                <c:pt idx="4">
                  <c:v>0</c:v>
                </c:pt>
                <c:pt idx="5">
                  <c:v>0</c:v>
                </c:pt>
                <c:pt idx="6">
                  <c:v>0</c:v>
                </c:pt>
                <c:pt idx="7">
                  <c:v>0</c:v>
                </c:pt>
                <c:pt idx="8">
                  <c:v>0</c:v>
                </c:pt>
              </c:numCache>
            </c:numRef>
          </c:val>
          <c:smooth val="0"/>
          <c:extLst>
            <c:ext xmlns:c16="http://schemas.microsoft.com/office/drawing/2014/chart" uri="{C3380CC4-5D6E-409C-BE32-E72D297353CC}">
              <c16:uniqueId val="{00000001-591A-4352-A3A0-BE9FEA70047B}"/>
            </c:ext>
          </c:extLst>
        </c:ser>
        <c:ser>
          <c:idx val="2"/>
          <c:order val="2"/>
          <c:tx>
            <c:strRef>
              <c:f>Inflows!$A$55</c:f>
              <c:strCache>
                <c:ptCount val="1"/>
                <c:pt idx="0">
                  <c:v>Payment ceiling at 95%</c:v>
                </c:pt>
              </c:strCache>
            </c:strRef>
          </c:tx>
          <c:spPr>
            <a:ln w="28575" cap="rnd">
              <a:solidFill>
                <a:schemeClr val="accent3"/>
              </a:solidFill>
              <a:round/>
            </a:ln>
            <a:effectLst/>
          </c:spPr>
          <c:marker>
            <c:symbol val="none"/>
          </c:marker>
          <c:cat>
            <c:strRef>
              <c:f>Inflows!$B$53:$J$53</c:f>
              <c:strCache>
                <c:ptCount val="9"/>
                <c:pt idx="0">
                  <c:v>2028</c:v>
                </c:pt>
                <c:pt idx="1">
                  <c:v>2029</c:v>
                </c:pt>
                <c:pt idx="2">
                  <c:v>2030</c:v>
                </c:pt>
                <c:pt idx="3">
                  <c:v>2031</c:v>
                </c:pt>
                <c:pt idx="4">
                  <c:v>2032</c:v>
                </c:pt>
                <c:pt idx="5">
                  <c:v>2033</c:v>
                </c:pt>
                <c:pt idx="6">
                  <c:v>2034</c:v>
                </c:pt>
                <c:pt idx="7">
                  <c:v>2035</c:v>
                </c:pt>
                <c:pt idx="8">
                  <c:v>after closure</c:v>
                </c:pt>
              </c:strCache>
            </c:strRef>
          </c:cat>
          <c:val>
            <c:numRef>
              <c:f>Inflows!$B$55:$J$55</c:f>
              <c:numCache>
                <c:formatCode>_(* #,##0.00_);_(* \(#,##0.00\);_(* "-"??_);_(@_)</c:formatCode>
                <c:ptCount val="9"/>
                <c:pt idx="0">
                  <c:v>0</c:v>
                </c:pt>
                <c:pt idx="1">
                  <c:v>0</c:v>
                </c:pt>
                <c:pt idx="2">
                  <c:v>0</c:v>
                </c:pt>
                <c:pt idx="3">
                  <c:v>0</c:v>
                </c:pt>
                <c:pt idx="4">
                  <c:v>0</c:v>
                </c:pt>
                <c:pt idx="5">
                  <c:v>0</c:v>
                </c:pt>
                <c:pt idx="6">
                  <c:v>0</c:v>
                </c:pt>
                <c:pt idx="7">
                  <c:v>0</c:v>
                </c:pt>
                <c:pt idx="8">
                  <c:v>0</c:v>
                </c:pt>
              </c:numCache>
            </c:numRef>
          </c:val>
          <c:smooth val="0"/>
          <c:extLst>
            <c:ext xmlns:c16="http://schemas.microsoft.com/office/drawing/2014/chart" uri="{C3380CC4-5D6E-409C-BE32-E72D297353CC}">
              <c16:uniqueId val="{00000002-591A-4352-A3A0-BE9FEA70047B}"/>
            </c:ext>
          </c:extLst>
        </c:ser>
        <c:ser>
          <c:idx val="3"/>
          <c:order val="3"/>
          <c:tx>
            <c:strRef>
              <c:f>Inflows!$A$56</c:f>
              <c:strCache>
                <c:ptCount val="1"/>
                <c:pt idx="0">
                  <c:v>programme budget</c:v>
                </c:pt>
              </c:strCache>
            </c:strRef>
          </c:tx>
          <c:spPr>
            <a:ln w="28575" cap="rnd">
              <a:solidFill>
                <a:schemeClr val="accent4"/>
              </a:solidFill>
              <a:round/>
            </a:ln>
            <a:effectLst/>
          </c:spPr>
          <c:marker>
            <c:symbol val="none"/>
          </c:marker>
          <c:cat>
            <c:strRef>
              <c:f>Inflows!$B$53:$J$53</c:f>
              <c:strCache>
                <c:ptCount val="9"/>
                <c:pt idx="0">
                  <c:v>2028</c:v>
                </c:pt>
                <c:pt idx="1">
                  <c:v>2029</c:v>
                </c:pt>
                <c:pt idx="2">
                  <c:v>2030</c:v>
                </c:pt>
                <c:pt idx="3">
                  <c:v>2031</c:v>
                </c:pt>
                <c:pt idx="4">
                  <c:v>2032</c:v>
                </c:pt>
                <c:pt idx="5">
                  <c:v>2033</c:v>
                </c:pt>
                <c:pt idx="6">
                  <c:v>2034</c:v>
                </c:pt>
                <c:pt idx="7">
                  <c:v>2035</c:v>
                </c:pt>
                <c:pt idx="8">
                  <c:v>after closure</c:v>
                </c:pt>
              </c:strCache>
            </c:strRef>
          </c:cat>
          <c:val>
            <c:numRef>
              <c:f>Inflows!$B$56:$J$56</c:f>
              <c:numCache>
                <c:formatCode>_(* #,##0.00_);_(* \(#,##0.00\);_(* "-"??_);_(@_)</c:formatCode>
                <c:ptCount val="9"/>
                <c:pt idx="0">
                  <c:v>0</c:v>
                </c:pt>
                <c:pt idx="1">
                  <c:v>0</c:v>
                </c:pt>
                <c:pt idx="2">
                  <c:v>0</c:v>
                </c:pt>
                <c:pt idx="3">
                  <c:v>0</c:v>
                </c:pt>
                <c:pt idx="4">
                  <c:v>0</c:v>
                </c:pt>
                <c:pt idx="5">
                  <c:v>0</c:v>
                </c:pt>
                <c:pt idx="6">
                  <c:v>0</c:v>
                </c:pt>
                <c:pt idx="7">
                  <c:v>0</c:v>
                </c:pt>
                <c:pt idx="8">
                  <c:v>0</c:v>
                </c:pt>
              </c:numCache>
            </c:numRef>
          </c:val>
          <c:smooth val="0"/>
          <c:extLst>
            <c:ext xmlns:c16="http://schemas.microsoft.com/office/drawing/2014/chart" uri="{C3380CC4-5D6E-409C-BE32-E72D297353CC}">
              <c16:uniqueId val="{00000003-591A-4352-A3A0-BE9FEA70047B}"/>
            </c:ext>
          </c:extLst>
        </c:ser>
        <c:dLbls>
          <c:showLegendKey val="0"/>
          <c:showVal val="0"/>
          <c:showCatName val="0"/>
          <c:showSerName val="0"/>
          <c:showPercent val="0"/>
          <c:showBubbleSize val="0"/>
        </c:dLbls>
        <c:marker val="1"/>
        <c:smooth val="0"/>
        <c:axId val="949828080"/>
        <c:axId val="1044399680"/>
      </c:lineChart>
      <c:catAx>
        <c:axId val="9498280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4399680"/>
        <c:crosses val="autoZero"/>
        <c:auto val="1"/>
        <c:lblAlgn val="ctr"/>
        <c:lblOffset val="100"/>
        <c:noMultiLvlLbl val="0"/>
      </c:catAx>
      <c:valAx>
        <c:axId val="1044399680"/>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98280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types of payment as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tx>
            <c:strRef>
              <c:f>Inflows!$B$14</c:f>
              <c:strCache>
                <c:ptCount val="1"/>
                <c:pt idx="0">
                  <c:v>€ 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B4E7-4780-AF1C-A5C958786E02}"/>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B4E7-4780-AF1C-A5C958786E02}"/>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B4E7-4780-AF1C-A5C958786E02}"/>
              </c:ext>
            </c:extLst>
          </c:dPt>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bg1"/>
                    </a:solidFill>
                    <a:latin typeface="+mn-lt"/>
                    <a:ea typeface="+mn-ea"/>
                    <a:cs typeface="+mn-cs"/>
                  </a:defRPr>
                </a:pPr>
                <a:endParaRPr lang="en-U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Inflows!$A$15:$A$17</c:f>
              <c:strCache>
                <c:ptCount val="3"/>
                <c:pt idx="0">
                  <c:v>pre-financing</c:v>
                </c:pt>
                <c:pt idx="1">
                  <c:v>interim payments</c:v>
                </c:pt>
                <c:pt idx="2">
                  <c:v>payment after closure</c:v>
                </c:pt>
              </c:strCache>
            </c:strRef>
          </c:cat>
          <c:val>
            <c:numRef>
              <c:f>Inflows!$B$15:$B$17</c:f>
              <c:numCache>
                <c:formatCode>#,##0</c:formatCode>
                <c:ptCount val="3"/>
                <c:pt idx="0">
                  <c:v>0</c:v>
                </c:pt>
                <c:pt idx="1">
                  <c:v>0</c:v>
                </c:pt>
                <c:pt idx="2">
                  <c:v>0</c:v>
                </c:pt>
              </c:numCache>
            </c:numRef>
          </c:val>
          <c:extLst>
            <c:ext xmlns:c16="http://schemas.microsoft.com/office/drawing/2014/chart" uri="{C3380CC4-5D6E-409C-BE32-E72D297353CC}">
              <c16:uniqueId val="{00000000-E144-49FD-BFC2-06E250D61395}"/>
            </c:ext>
          </c:extLst>
        </c:ser>
        <c:dLbls>
          <c:showLegendKey val="0"/>
          <c:showVal val="0"/>
          <c:showCatName val="0"/>
          <c:showSerName val="0"/>
          <c:showPercent val="1"/>
          <c:showBubbleSize val="0"/>
          <c:showLeaderLines val="1"/>
        </c:dLbls>
        <c:firstSliceAng val="0"/>
      </c:pieChart>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TA generation cumulative in</a:t>
            </a:r>
            <a:r>
              <a:rPr lang="en-US" baseline="0"/>
              <a:t> €</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'TA '!$A$7</c:f>
              <c:strCache>
                <c:ptCount val="1"/>
                <c:pt idx="0">
                  <c:v>TA cumulative in payment applications</c:v>
                </c:pt>
              </c:strCache>
            </c:strRef>
          </c:tx>
          <c:spPr>
            <a:ln w="28575" cap="rnd">
              <a:solidFill>
                <a:schemeClr val="accent1"/>
              </a:solidFill>
              <a:round/>
            </a:ln>
            <a:effectLst/>
          </c:spPr>
          <c:marker>
            <c:symbol val="none"/>
          </c:marker>
          <c:cat>
            <c:numRef>
              <c:f>'TA '!$B$5:$I$5</c:f>
              <c:numCache>
                <c:formatCode>General</c:formatCode>
                <c:ptCount val="8"/>
                <c:pt idx="0">
                  <c:v>2028</c:v>
                </c:pt>
                <c:pt idx="1">
                  <c:v>2029</c:v>
                </c:pt>
                <c:pt idx="2">
                  <c:v>2030</c:v>
                </c:pt>
                <c:pt idx="3">
                  <c:v>2031</c:v>
                </c:pt>
                <c:pt idx="4">
                  <c:v>2032</c:v>
                </c:pt>
                <c:pt idx="5">
                  <c:v>2033</c:v>
                </c:pt>
                <c:pt idx="6">
                  <c:v>2034</c:v>
                </c:pt>
                <c:pt idx="7">
                  <c:v>2035</c:v>
                </c:pt>
              </c:numCache>
            </c:numRef>
          </c:cat>
          <c:val>
            <c:numRef>
              <c:f>'TA '!$B$7:$I$7</c:f>
              <c:numCache>
                <c:formatCode>#,##0.00</c:formatCode>
                <c:ptCount val="8"/>
                <c:pt idx="0">
                  <c:v>0</c:v>
                </c:pt>
                <c:pt idx="1">
                  <c:v>0</c:v>
                </c:pt>
                <c:pt idx="2">
                  <c:v>0</c:v>
                </c:pt>
                <c:pt idx="3">
                  <c:v>0</c:v>
                </c:pt>
                <c:pt idx="4">
                  <c:v>0</c:v>
                </c:pt>
                <c:pt idx="5">
                  <c:v>0</c:v>
                </c:pt>
                <c:pt idx="6">
                  <c:v>0</c:v>
                </c:pt>
                <c:pt idx="7">
                  <c:v>0</c:v>
                </c:pt>
              </c:numCache>
            </c:numRef>
          </c:val>
          <c:smooth val="0"/>
          <c:extLst>
            <c:ext xmlns:c16="http://schemas.microsoft.com/office/drawing/2014/chart" uri="{C3380CC4-5D6E-409C-BE32-E72D297353CC}">
              <c16:uniqueId val="{00000000-89EA-45CC-8B69-325AD3B8B2D1}"/>
            </c:ext>
          </c:extLst>
        </c:ser>
        <c:dLbls>
          <c:showLegendKey val="0"/>
          <c:showVal val="0"/>
          <c:showCatName val="0"/>
          <c:showSerName val="0"/>
          <c:showPercent val="0"/>
          <c:showBubbleSize val="0"/>
        </c:dLbls>
        <c:smooth val="0"/>
        <c:axId val="1439441616"/>
        <c:axId val="1439431536"/>
      </c:lineChart>
      <c:catAx>
        <c:axId val="14394416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9431536"/>
        <c:crosses val="autoZero"/>
        <c:auto val="1"/>
        <c:lblAlgn val="ctr"/>
        <c:lblOffset val="100"/>
        <c:noMultiLvlLbl val="0"/>
      </c:catAx>
      <c:valAx>
        <c:axId val="143943153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94416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 '!$A$9</c:f>
              <c:strCache>
                <c:ptCount val="1"/>
                <c:pt idx="0">
                  <c:v>Actual payments for TA (pre-financing &amp; interim payments)</c:v>
                </c:pt>
              </c:strCache>
            </c:strRef>
          </c:tx>
          <c:spPr>
            <a:solidFill>
              <a:schemeClr val="accent1"/>
            </a:solidFill>
            <a:ln>
              <a:noFill/>
            </a:ln>
            <a:effectLst/>
          </c:spPr>
          <c:invertIfNegative val="0"/>
          <c:cat>
            <c:strRef>
              <c:f>'TA '!$B$5:$J$5</c:f>
              <c:strCache>
                <c:ptCount val="9"/>
                <c:pt idx="0">
                  <c:v>2028</c:v>
                </c:pt>
                <c:pt idx="1">
                  <c:v>2029</c:v>
                </c:pt>
                <c:pt idx="2">
                  <c:v>2030</c:v>
                </c:pt>
                <c:pt idx="3">
                  <c:v>2031</c:v>
                </c:pt>
                <c:pt idx="4">
                  <c:v>2032</c:v>
                </c:pt>
                <c:pt idx="5">
                  <c:v>2033</c:v>
                </c:pt>
                <c:pt idx="6">
                  <c:v>2034</c:v>
                </c:pt>
                <c:pt idx="7">
                  <c:v>2035</c:v>
                </c:pt>
                <c:pt idx="8">
                  <c:v>after closure</c:v>
                </c:pt>
              </c:strCache>
            </c:strRef>
          </c:cat>
          <c:val>
            <c:numRef>
              <c:f>'TA '!$B$9:$J$9</c:f>
              <c:numCache>
                <c:formatCode>#,##0.00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E179-4C98-93E7-ABC6F14F08C1}"/>
            </c:ext>
          </c:extLst>
        </c:ser>
        <c:dLbls>
          <c:showLegendKey val="0"/>
          <c:showVal val="0"/>
          <c:showCatName val="0"/>
          <c:showSerName val="0"/>
          <c:showPercent val="0"/>
          <c:showBubbleSize val="0"/>
        </c:dLbls>
        <c:gapWidth val="219"/>
        <c:overlap val="-27"/>
        <c:axId val="1211225152"/>
        <c:axId val="929058240"/>
      </c:barChart>
      <c:catAx>
        <c:axId val="1211225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9058240"/>
        <c:crosses val="autoZero"/>
        <c:auto val="1"/>
        <c:lblAlgn val="ctr"/>
        <c:lblOffset val="100"/>
        <c:noMultiLvlLbl val="0"/>
      </c:catAx>
      <c:valAx>
        <c:axId val="92905824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122515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a:lstStyle/>
          <a:p>
            <a:pPr>
              <a:defRPr sz="1400" b="0">
                <a:solidFill>
                  <a:srgbClr val="595959"/>
                </a:solidFill>
              </a:defRPr>
            </a:pPr>
            <a:r>
              <a:rPr lang="en-GB" sz="1400" b="0">
                <a:solidFill>
                  <a:srgbClr val="595959"/>
                </a:solidFill>
              </a:rPr>
              <a:t>All measures: cumulative inflows from COM and payments to projects</a:t>
            </a:r>
          </a:p>
        </c:rich>
      </c:tx>
      <c:overlay val="0"/>
    </c:title>
    <c:autoTitleDeleted val="0"/>
    <c:plotArea>
      <c:layout/>
      <c:barChart>
        <c:barDir val="col"/>
        <c:grouping val="clustered"/>
        <c:varyColors val="0"/>
        <c:ser>
          <c:idx val="0"/>
          <c:order val="0"/>
          <c:tx>
            <c:strRef>
              <c:f>'Summary project payments'!$B$26</c:f>
              <c:strCache>
                <c:ptCount val="1"/>
                <c:pt idx="0">
                  <c:v>cumulative inflows from COM</c:v>
                </c:pt>
              </c:strCache>
            </c:strRef>
          </c:tx>
          <c:spPr>
            <a:solidFill>
              <a:srgbClr val="156082"/>
            </a:solidFill>
            <a:ln>
              <a:noFill/>
            </a:ln>
          </c:spPr>
          <c:invertIfNegative val="0"/>
          <c:cat>
            <c:strRef>
              <c:f>'Summary project payments'!$C$5:$K$5</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payments'!$C$26:$K$26</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4EF8-471A-A27F-8F8BA759916B}"/>
            </c:ext>
          </c:extLst>
        </c:ser>
        <c:ser>
          <c:idx val="1"/>
          <c:order val="1"/>
          <c:tx>
            <c:strRef>
              <c:f>'Summary project payments'!$B$27</c:f>
              <c:strCache>
                <c:ptCount val="1"/>
                <c:pt idx="0">
                  <c:v>cumulative payments to projects</c:v>
                </c:pt>
              </c:strCache>
            </c:strRef>
          </c:tx>
          <c:spPr>
            <a:solidFill>
              <a:srgbClr val="E97132"/>
            </a:solidFill>
            <a:ln>
              <a:noFill/>
            </a:ln>
          </c:spPr>
          <c:invertIfNegative val="0"/>
          <c:cat>
            <c:strRef>
              <c:f>'Summary project payments'!$C$5:$K$5</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payments'!$C$27:$K$27</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1-4EF8-471A-A27F-8F8BA759916B}"/>
            </c:ext>
          </c:extLst>
        </c:ser>
        <c:dLbls>
          <c:showLegendKey val="0"/>
          <c:showVal val="0"/>
          <c:showCatName val="0"/>
          <c:showSerName val="0"/>
          <c:showPercent val="0"/>
          <c:showBubbleSize val="0"/>
        </c:dLbls>
        <c:gapWidth val="60"/>
        <c:overlap val="-10"/>
        <c:axId val="50010"/>
        <c:axId val="50020"/>
      </c:barChart>
      <c:catAx>
        <c:axId val="50010"/>
        <c:scaling>
          <c:orientation val="minMax"/>
        </c:scaling>
        <c:delete val="0"/>
        <c:axPos val="b"/>
        <c:numFmt formatCode="General" sourceLinked="0"/>
        <c:majorTickMark val="none"/>
        <c:minorTickMark val="none"/>
        <c:tickLblPos val="low"/>
        <c:txPr>
          <a:bodyPr/>
          <a:lstStyle/>
          <a:p>
            <a:pPr>
              <a:defRPr sz="900" b="0">
                <a:solidFill>
                  <a:srgbClr val="595959"/>
                </a:solidFill>
              </a:defRPr>
            </a:pPr>
            <a:endParaRPr lang="en-GB"/>
          </a:p>
        </c:txPr>
        <c:crossAx val="50020"/>
        <c:crosses val="autoZero"/>
        <c:auto val="1"/>
        <c:lblAlgn val="ctr"/>
        <c:lblOffset val="100"/>
        <c:noMultiLvlLbl val="0"/>
      </c:catAx>
      <c:valAx>
        <c:axId val="50020"/>
        <c:scaling>
          <c:orientation val="minMax"/>
        </c:scaling>
        <c:delete val="0"/>
        <c:axPos val="l"/>
        <c:majorGridlines>
          <c:spPr>
            <a:ln w="9525">
              <a:solidFill>
                <a:srgbClr val="D9D9D9"/>
              </a:solidFill>
            </a:ln>
          </c:spPr>
        </c:majorGridlines>
        <c:title>
          <c:tx>
            <c:rich>
              <a:bodyPr rot="-5400000" vert="horz"/>
              <a:lstStyle/>
              <a:p>
                <a:pPr>
                  <a:defRPr sz="900" b="0"/>
                </a:pPr>
                <a:r>
                  <a:rPr lang="en-GB" sz="900" b="0"/>
                  <a:t>EUR</a:t>
                </a:r>
              </a:p>
            </c:rich>
          </c:tx>
          <c:overlay val="0"/>
        </c:title>
        <c:numFmt formatCode="#,##0" sourceLinked="0"/>
        <c:majorTickMark val="none"/>
        <c:minorTickMark val="none"/>
        <c:tickLblPos val="nextTo"/>
        <c:txPr>
          <a:bodyPr/>
          <a:lstStyle/>
          <a:p>
            <a:pPr>
              <a:defRPr sz="900" b="0">
                <a:solidFill>
                  <a:srgbClr val="595959"/>
                </a:solidFill>
              </a:defRPr>
            </a:pPr>
            <a:endParaRPr lang="en-GB"/>
          </a:p>
        </c:txPr>
        <c:crossAx val="50010"/>
        <c:crosses val="autoZero"/>
        <c:crossBetween val="between"/>
      </c:valAx>
      <c:spPr>
        <a:noFill/>
      </c:spPr>
    </c:plotArea>
    <c:legend>
      <c:legendPos val="b"/>
      <c:overlay val="0"/>
      <c:txPr>
        <a:bodyPr/>
        <a:lstStyle/>
        <a:p>
          <a:pPr>
            <a:defRPr sz="900" b="0">
              <a:solidFill>
                <a:srgbClr val="595959"/>
              </a:solidFill>
            </a:defRPr>
          </a:pPr>
          <a:endParaRPr lang="en-GB"/>
        </a:p>
      </c:txPr>
    </c:legend>
    <c:plotVisOnly val="1"/>
    <c:dispBlanksAs val="gap"/>
    <c:showDLblsOverMax val="1"/>
  </c:chart>
  <c:spPr>
    <a:solidFill>
      <a:srgbClr val="FFFFFF"/>
    </a:solidFill>
    <a:ln w="9525">
      <a:solidFill>
        <a:srgbClr val="D9D9D9"/>
      </a:solidFill>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a:lstStyle/>
          <a:p>
            <a:pPr>
              <a:defRPr sz="1400" b="0">
                <a:solidFill>
                  <a:srgbClr val="595959"/>
                </a:solidFill>
              </a:defRPr>
            </a:pPr>
            <a:r>
              <a:rPr lang="en-GB" sz="1400" b="0">
                <a:solidFill>
                  <a:srgbClr val="595959"/>
                </a:solidFill>
              </a:rPr>
              <a:t>Cumulative payments to projects by measure</a:t>
            </a:r>
          </a:p>
        </c:rich>
      </c:tx>
      <c:overlay val="0"/>
    </c:title>
    <c:autoTitleDeleted val="0"/>
    <c:plotArea>
      <c:layout/>
      <c:barChart>
        <c:barDir val="col"/>
        <c:grouping val="stacked"/>
        <c:varyColors val="0"/>
        <c:ser>
          <c:idx val="0"/>
          <c:order val="0"/>
          <c:tx>
            <c:strRef>
              <c:f>'Summary project payments'!$B$45</c:f>
              <c:strCache>
                <c:ptCount val="1"/>
                <c:pt idx="0">
                  <c:v>Measure 1</c:v>
                </c:pt>
              </c:strCache>
            </c:strRef>
          </c:tx>
          <c:spPr>
            <a:solidFill>
              <a:srgbClr val="156082"/>
            </a:solidFill>
            <a:ln>
              <a:noFill/>
            </a:ln>
          </c:spPr>
          <c:invertIfNegative val="0"/>
          <c:cat>
            <c:strRef>
              <c:f>'Summary project payments'!$C$44:$K$44</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payments'!$C$45:$K$45</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631D-4942-8193-D857B347BE43}"/>
            </c:ext>
          </c:extLst>
        </c:ser>
        <c:ser>
          <c:idx val="1"/>
          <c:order val="1"/>
          <c:tx>
            <c:strRef>
              <c:f>'Summary project payments'!$B$46</c:f>
              <c:strCache>
                <c:ptCount val="1"/>
                <c:pt idx="0">
                  <c:v>Measure 2</c:v>
                </c:pt>
              </c:strCache>
            </c:strRef>
          </c:tx>
          <c:spPr>
            <a:solidFill>
              <a:srgbClr val="E97132"/>
            </a:solidFill>
            <a:ln>
              <a:noFill/>
            </a:ln>
          </c:spPr>
          <c:invertIfNegative val="0"/>
          <c:cat>
            <c:strRef>
              <c:f>'Summary project payments'!$C$44:$K$44</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payments'!$C$46:$K$46</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1-631D-4942-8193-D857B347BE43}"/>
            </c:ext>
          </c:extLst>
        </c:ser>
        <c:ser>
          <c:idx val="2"/>
          <c:order val="2"/>
          <c:tx>
            <c:strRef>
              <c:f>'Summary project payments'!$B$47</c:f>
              <c:strCache>
                <c:ptCount val="1"/>
                <c:pt idx="0">
                  <c:v>Measure 3</c:v>
                </c:pt>
              </c:strCache>
            </c:strRef>
          </c:tx>
          <c:spPr>
            <a:solidFill>
              <a:srgbClr val="196B24"/>
            </a:solidFill>
            <a:ln>
              <a:noFill/>
            </a:ln>
          </c:spPr>
          <c:invertIfNegative val="0"/>
          <c:cat>
            <c:strRef>
              <c:f>'Summary project payments'!$C$44:$K$44</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payments'!$C$47:$K$47</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2-631D-4942-8193-D857B347BE43}"/>
            </c:ext>
          </c:extLst>
        </c:ser>
        <c:ser>
          <c:idx val="3"/>
          <c:order val="3"/>
          <c:tx>
            <c:strRef>
              <c:f>'Summary project payments'!$B$48</c:f>
              <c:strCache>
                <c:ptCount val="1"/>
                <c:pt idx="0">
                  <c:v>Measure 4</c:v>
                </c:pt>
              </c:strCache>
            </c:strRef>
          </c:tx>
          <c:spPr>
            <a:solidFill>
              <a:srgbClr val="0F9ED5"/>
            </a:solidFill>
            <a:ln>
              <a:noFill/>
            </a:ln>
          </c:spPr>
          <c:invertIfNegative val="0"/>
          <c:cat>
            <c:strRef>
              <c:f>'Summary project payments'!$C$44:$K$44</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payments'!$C$48:$K$48</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3-631D-4942-8193-D857B347BE43}"/>
            </c:ext>
          </c:extLst>
        </c:ser>
        <c:ser>
          <c:idx val="4"/>
          <c:order val="4"/>
          <c:tx>
            <c:strRef>
              <c:f>'Summary project payments'!$B$49</c:f>
              <c:strCache>
                <c:ptCount val="1"/>
                <c:pt idx="0">
                  <c:v>Measure 5</c:v>
                </c:pt>
              </c:strCache>
            </c:strRef>
          </c:tx>
          <c:spPr>
            <a:solidFill>
              <a:srgbClr val="A02B93"/>
            </a:solidFill>
            <a:ln>
              <a:noFill/>
            </a:ln>
          </c:spPr>
          <c:invertIfNegative val="0"/>
          <c:cat>
            <c:strRef>
              <c:f>'Summary project payments'!$C$44:$K$44</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payments'!$C$49:$K$49</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4-631D-4942-8193-D857B347BE43}"/>
            </c:ext>
          </c:extLst>
        </c:ser>
        <c:ser>
          <c:idx val="5"/>
          <c:order val="5"/>
          <c:tx>
            <c:strRef>
              <c:f>'Summary project payments'!$B$50</c:f>
              <c:strCache>
                <c:ptCount val="1"/>
                <c:pt idx="0">
                  <c:v>Measure 6</c:v>
                </c:pt>
              </c:strCache>
            </c:strRef>
          </c:tx>
          <c:spPr>
            <a:solidFill>
              <a:srgbClr val="4EA72E"/>
            </a:solidFill>
            <a:ln>
              <a:noFill/>
            </a:ln>
          </c:spPr>
          <c:invertIfNegative val="0"/>
          <c:cat>
            <c:strRef>
              <c:f>'Summary project payments'!$C$44:$K$44</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payments'!$C$50:$K$50</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5-631D-4942-8193-D857B347BE43}"/>
            </c:ext>
          </c:extLst>
        </c:ser>
        <c:ser>
          <c:idx val="6"/>
          <c:order val="6"/>
          <c:tx>
            <c:strRef>
              <c:f>'Summary project payments'!$B$51</c:f>
              <c:strCache>
                <c:ptCount val="1"/>
                <c:pt idx="0">
                  <c:v>Measure 7</c:v>
                </c:pt>
              </c:strCache>
            </c:strRef>
          </c:tx>
          <c:spPr>
            <a:solidFill>
              <a:srgbClr val="7F7F7F"/>
            </a:solidFill>
            <a:ln>
              <a:noFill/>
            </a:ln>
          </c:spPr>
          <c:invertIfNegative val="0"/>
          <c:cat>
            <c:strRef>
              <c:f>'Summary project payments'!$C$44:$K$44</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payments'!$C$51:$K$51</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6-631D-4942-8193-D857B347BE43}"/>
            </c:ext>
          </c:extLst>
        </c:ser>
        <c:ser>
          <c:idx val="7"/>
          <c:order val="7"/>
          <c:tx>
            <c:strRef>
              <c:f>'Summary project payments'!$B$52</c:f>
              <c:strCache>
                <c:ptCount val="1"/>
                <c:pt idx="0">
                  <c:v>Measure 8</c:v>
                </c:pt>
              </c:strCache>
            </c:strRef>
          </c:tx>
          <c:spPr>
            <a:solidFill>
              <a:srgbClr val="FFC000"/>
            </a:solidFill>
            <a:ln>
              <a:noFill/>
            </a:ln>
          </c:spPr>
          <c:invertIfNegative val="0"/>
          <c:cat>
            <c:strRef>
              <c:f>'Summary project payments'!$C$44:$K$44</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payments'!$C$52:$K$52</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7-631D-4942-8193-D857B347BE43}"/>
            </c:ext>
          </c:extLst>
        </c:ser>
        <c:ser>
          <c:idx val="8"/>
          <c:order val="8"/>
          <c:tx>
            <c:strRef>
              <c:f>'Summary project payments'!$B$53</c:f>
              <c:strCache>
                <c:ptCount val="1"/>
                <c:pt idx="0">
                  <c:v>Measure 9</c:v>
                </c:pt>
              </c:strCache>
            </c:strRef>
          </c:tx>
          <c:spPr>
            <a:solidFill>
              <a:srgbClr val="C00000"/>
            </a:solidFill>
            <a:ln>
              <a:noFill/>
            </a:ln>
          </c:spPr>
          <c:invertIfNegative val="0"/>
          <c:cat>
            <c:strRef>
              <c:f>'Summary project payments'!$C$44:$K$44</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payments'!$C$53:$K$53</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8-631D-4942-8193-D857B347BE43}"/>
            </c:ext>
          </c:extLst>
        </c:ser>
        <c:ser>
          <c:idx val="9"/>
          <c:order val="9"/>
          <c:tx>
            <c:strRef>
              <c:f>'Summary project payments'!$B$54</c:f>
              <c:strCache>
                <c:ptCount val="1"/>
                <c:pt idx="0">
                  <c:v>Measure 10</c:v>
                </c:pt>
              </c:strCache>
            </c:strRef>
          </c:tx>
          <c:spPr>
            <a:solidFill>
              <a:srgbClr val="8B5E3C"/>
            </a:solidFill>
            <a:ln>
              <a:noFill/>
            </a:ln>
          </c:spPr>
          <c:invertIfNegative val="0"/>
          <c:cat>
            <c:strRef>
              <c:f>'Summary project payments'!$C$44:$K$44</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payments'!$C$54:$K$54</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9-631D-4942-8193-D857B347BE43}"/>
            </c:ext>
          </c:extLst>
        </c:ser>
        <c:dLbls>
          <c:showLegendKey val="0"/>
          <c:showVal val="0"/>
          <c:showCatName val="0"/>
          <c:showSerName val="0"/>
          <c:showPercent val="0"/>
          <c:showBubbleSize val="0"/>
        </c:dLbls>
        <c:gapWidth val="60"/>
        <c:overlap val="100"/>
        <c:axId val="50010"/>
        <c:axId val="50020"/>
      </c:barChart>
      <c:catAx>
        <c:axId val="50010"/>
        <c:scaling>
          <c:orientation val="minMax"/>
        </c:scaling>
        <c:delete val="0"/>
        <c:axPos val="b"/>
        <c:numFmt formatCode="General" sourceLinked="0"/>
        <c:majorTickMark val="none"/>
        <c:minorTickMark val="none"/>
        <c:tickLblPos val="low"/>
        <c:txPr>
          <a:bodyPr/>
          <a:lstStyle/>
          <a:p>
            <a:pPr>
              <a:defRPr sz="900" b="0">
                <a:solidFill>
                  <a:srgbClr val="595959"/>
                </a:solidFill>
              </a:defRPr>
            </a:pPr>
            <a:endParaRPr lang="en-GB"/>
          </a:p>
        </c:txPr>
        <c:crossAx val="50020"/>
        <c:crosses val="autoZero"/>
        <c:auto val="1"/>
        <c:lblAlgn val="ctr"/>
        <c:lblOffset val="100"/>
        <c:noMultiLvlLbl val="0"/>
      </c:catAx>
      <c:valAx>
        <c:axId val="50020"/>
        <c:scaling>
          <c:orientation val="minMax"/>
        </c:scaling>
        <c:delete val="0"/>
        <c:axPos val="l"/>
        <c:majorGridlines>
          <c:spPr>
            <a:ln w="9525">
              <a:solidFill>
                <a:srgbClr val="D9D9D9"/>
              </a:solidFill>
            </a:ln>
          </c:spPr>
        </c:majorGridlines>
        <c:title>
          <c:tx>
            <c:rich>
              <a:bodyPr rot="-5400000" vert="horz"/>
              <a:lstStyle/>
              <a:p>
                <a:pPr>
                  <a:defRPr sz="900" b="0"/>
                </a:pPr>
                <a:r>
                  <a:rPr lang="en-GB" sz="900" b="0"/>
                  <a:t>EUR</a:t>
                </a:r>
              </a:p>
            </c:rich>
          </c:tx>
          <c:overlay val="0"/>
        </c:title>
        <c:numFmt formatCode="#,##0" sourceLinked="0"/>
        <c:majorTickMark val="none"/>
        <c:minorTickMark val="none"/>
        <c:tickLblPos val="nextTo"/>
        <c:txPr>
          <a:bodyPr/>
          <a:lstStyle/>
          <a:p>
            <a:pPr>
              <a:defRPr sz="900" b="0">
                <a:solidFill>
                  <a:srgbClr val="595959"/>
                </a:solidFill>
              </a:defRPr>
            </a:pPr>
            <a:endParaRPr lang="en-GB"/>
          </a:p>
        </c:txPr>
        <c:crossAx val="50010"/>
        <c:crosses val="autoZero"/>
        <c:crossBetween val="between"/>
      </c:valAx>
      <c:spPr>
        <a:noFill/>
      </c:spPr>
    </c:plotArea>
    <c:legend>
      <c:legendPos val="b"/>
      <c:overlay val="0"/>
      <c:txPr>
        <a:bodyPr/>
        <a:lstStyle/>
        <a:p>
          <a:pPr>
            <a:defRPr sz="900" b="0">
              <a:solidFill>
                <a:srgbClr val="595959"/>
              </a:solidFill>
            </a:defRPr>
          </a:pPr>
          <a:endParaRPr lang="en-GB"/>
        </a:p>
      </c:txPr>
    </c:legend>
    <c:plotVisOnly val="1"/>
    <c:dispBlanksAs val="gap"/>
    <c:showDLblsOverMax val="1"/>
  </c:chart>
  <c:spPr>
    <a:solidFill>
      <a:srgbClr val="FFFFFF"/>
    </a:solidFill>
    <a:ln w="9525">
      <a:solidFill>
        <a:srgbClr val="D9D9D9"/>
      </a:solidFill>
    </a:ln>
  </c:sp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a:lstStyle/>
          <a:p>
            <a:pPr>
              <a:defRPr sz="1400" b="0">
                <a:solidFill>
                  <a:srgbClr val="595959"/>
                </a:solidFill>
              </a:defRPr>
            </a:pPr>
            <a:r>
              <a:rPr lang="en-GB" sz="1400" b="0">
                <a:solidFill>
                  <a:srgbClr val="595959"/>
                </a:solidFill>
              </a:rPr>
              <a:t>Cumulative inflows from COM by measure</a:t>
            </a:r>
          </a:p>
        </c:rich>
      </c:tx>
      <c:overlay val="0"/>
    </c:title>
    <c:autoTitleDeleted val="0"/>
    <c:plotArea>
      <c:layout/>
      <c:barChart>
        <c:barDir val="col"/>
        <c:grouping val="stacked"/>
        <c:varyColors val="0"/>
        <c:ser>
          <c:idx val="0"/>
          <c:order val="0"/>
          <c:tx>
            <c:strRef>
              <c:f>'Summary project payments'!$B$32</c:f>
              <c:strCache>
                <c:ptCount val="1"/>
                <c:pt idx="0">
                  <c:v>Measure 1</c:v>
                </c:pt>
              </c:strCache>
            </c:strRef>
          </c:tx>
          <c:spPr>
            <a:solidFill>
              <a:srgbClr val="156082"/>
            </a:solidFill>
            <a:ln>
              <a:noFill/>
            </a:ln>
          </c:spPr>
          <c:invertIfNegative val="0"/>
          <c:cat>
            <c:strRef>
              <c:f>'Summary project payments'!$C$31:$K$31</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payments'!$C$32:$K$32</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61EC-4CF6-BEE7-BB487928D72E}"/>
            </c:ext>
          </c:extLst>
        </c:ser>
        <c:ser>
          <c:idx val="1"/>
          <c:order val="1"/>
          <c:tx>
            <c:strRef>
              <c:f>'Summary project payments'!$B$33</c:f>
              <c:strCache>
                <c:ptCount val="1"/>
                <c:pt idx="0">
                  <c:v>Measure 2</c:v>
                </c:pt>
              </c:strCache>
            </c:strRef>
          </c:tx>
          <c:spPr>
            <a:solidFill>
              <a:srgbClr val="E97132"/>
            </a:solidFill>
            <a:ln>
              <a:noFill/>
            </a:ln>
          </c:spPr>
          <c:invertIfNegative val="0"/>
          <c:cat>
            <c:strRef>
              <c:f>'Summary project payments'!$C$31:$K$31</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payments'!$C$33:$K$33</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1-61EC-4CF6-BEE7-BB487928D72E}"/>
            </c:ext>
          </c:extLst>
        </c:ser>
        <c:ser>
          <c:idx val="2"/>
          <c:order val="2"/>
          <c:tx>
            <c:strRef>
              <c:f>'Summary project payments'!$B$34</c:f>
              <c:strCache>
                <c:ptCount val="1"/>
                <c:pt idx="0">
                  <c:v>Measure 3</c:v>
                </c:pt>
              </c:strCache>
            </c:strRef>
          </c:tx>
          <c:spPr>
            <a:solidFill>
              <a:srgbClr val="196B24"/>
            </a:solidFill>
            <a:ln>
              <a:noFill/>
            </a:ln>
          </c:spPr>
          <c:invertIfNegative val="0"/>
          <c:cat>
            <c:strRef>
              <c:f>'Summary project payments'!$C$31:$K$31</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payments'!$C$34:$K$34</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2-61EC-4CF6-BEE7-BB487928D72E}"/>
            </c:ext>
          </c:extLst>
        </c:ser>
        <c:ser>
          <c:idx val="3"/>
          <c:order val="3"/>
          <c:tx>
            <c:strRef>
              <c:f>'Summary project payments'!$B$35</c:f>
              <c:strCache>
                <c:ptCount val="1"/>
                <c:pt idx="0">
                  <c:v>Measure 4</c:v>
                </c:pt>
              </c:strCache>
            </c:strRef>
          </c:tx>
          <c:spPr>
            <a:solidFill>
              <a:srgbClr val="0F9ED5"/>
            </a:solidFill>
            <a:ln>
              <a:noFill/>
            </a:ln>
          </c:spPr>
          <c:invertIfNegative val="0"/>
          <c:cat>
            <c:strRef>
              <c:f>'Summary project payments'!$C$31:$K$31</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payments'!$C$35:$K$35</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3-61EC-4CF6-BEE7-BB487928D72E}"/>
            </c:ext>
          </c:extLst>
        </c:ser>
        <c:ser>
          <c:idx val="4"/>
          <c:order val="4"/>
          <c:tx>
            <c:strRef>
              <c:f>'Summary project payments'!$B$36</c:f>
              <c:strCache>
                <c:ptCount val="1"/>
                <c:pt idx="0">
                  <c:v>Measure 5</c:v>
                </c:pt>
              </c:strCache>
            </c:strRef>
          </c:tx>
          <c:spPr>
            <a:solidFill>
              <a:srgbClr val="A02B93"/>
            </a:solidFill>
            <a:ln>
              <a:noFill/>
            </a:ln>
          </c:spPr>
          <c:invertIfNegative val="0"/>
          <c:cat>
            <c:strRef>
              <c:f>'Summary project payments'!$C$31:$K$31</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payments'!$C$36:$K$36</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4-61EC-4CF6-BEE7-BB487928D72E}"/>
            </c:ext>
          </c:extLst>
        </c:ser>
        <c:ser>
          <c:idx val="5"/>
          <c:order val="5"/>
          <c:tx>
            <c:strRef>
              <c:f>'Summary project payments'!$B$37</c:f>
              <c:strCache>
                <c:ptCount val="1"/>
                <c:pt idx="0">
                  <c:v>Measure 6</c:v>
                </c:pt>
              </c:strCache>
            </c:strRef>
          </c:tx>
          <c:spPr>
            <a:solidFill>
              <a:srgbClr val="4EA72E"/>
            </a:solidFill>
            <a:ln>
              <a:noFill/>
            </a:ln>
          </c:spPr>
          <c:invertIfNegative val="0"/>
          <c:cat>
            <c:strRef>
              <c:f>'Summary project payments'!$C$31:$K$31</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payments'!$C$37:$K$37</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5-61EC-4CF6-BEE7-BB487928D72E}"/>
            </c:ext>
          </c:extLst>
        </c:ser>
        <c:ser>
          <c:idx val="6"/>
          <c:order val="6"/>
          <c:tx>
            <c:strRef>
              <c:f>'Summary project payments'!$B$38</c:f>
              <c:strCache>
                <c:ptCount val="1"/>
                <c:pt idx="0">
                  <c:v>Measure 7</c:v>
                </c:pt>
              </c:strCache>
            </c:strRef>
          </c:tx>
          <c:spPr>
            <a:solidFill>
              <a:srgbClr val="7F7F7F"/>
            </a:solidFill>
            <a:ln>
              <a:noFill/>
            </a:ln>
          </c:spPr>
          <c:invertIfNegative val="0"/>
          <c:cat>
            <c:strRef>
              <c:f>'Summary project payments'!$C$31:$K$31</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payments'!$C$38:$K$38</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6-61EC-4CF6-BEE7-BB487928D72E}"/>
            </c:ext>
          </c:extLst>
        </c:ser>
        <c:ser>
          <c:idx val="7"/>
          <c:order val="7"/>
          <c:tx>
            <c:strRef>
              <c:f>'Summary project payments'!$B$39</c:f>
              <c:strCache>
                <c:ptCount val="1"/>
                <c:pt idx="0">
                  <c:v>Measure 8</c:v>
                </c:pt>
              </c:strCache>
            </c:strRef>
          </c:tx>
          <c:spPr>
            <a:solidFill>
              <a:srgbClr val="FFC000"/>
            </a:solidFill>
            <a:ln>
              <a:noFill/>
            </a:ln>
          </c:spPr>
          <c:invertIfNegative val="0"/>
          <c:cat>
            <c:strRef>
              <c:f>'Summary project payments'!$C$31:$K$31</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payments'!$C$39:$K$39</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7-61EC-4CF6-BEE7-BB487928D72E}"/>
            </c:ext>
          </c:extLst>
        </c:ser>
        <c:ser>
          <c:idx val="8"/>
          <c:order val="8"/>
          <c:tx>
            <c:strRef>
              <c:f>'Summary project payments'!$B$40</c:f>
              <c:strCache>
                <c:ptCount val="1"/>
                <c:pt idx="0">
                  <c:v>Measure 9</c:v>
                </c:pt>
              </c:strCache>
            </c:strRef>
          </c:tx>
          <c:spPr>
            <a:solidFill>
              <a:srgbClr val="C00000"/>
            </a:solidFill>
            <a:ln>
              <a:noFill/>
            </a:ln>
          </c:spPr>
          <c:invertIfNegative val="0"/>
          <c:cat>
            <c:strRef>
              <c:f>'Summary project payments'!$C$31:$K$31</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payments'!$C$40:$K$40</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8-61EC-4CF6-BEE7-BB487928D72E}"/>
            </c:ext>
          </c:extLst>
        </c:ser>
        <c:ser>
          <c:idx val="9"/>
          <c:order val="9"/>
          <c:tx>
            <c:strRef>
              <c:f>'Summary project payments'!$B$41</c:f>
              <c:strCache>
                <c:ptCount val="1"/>
                <c:pt idx="0">
                  <c:v>Measure 10</c:v>
                </c:pt>
              </c:strCache>
            </c:strRef>
          </c:tx>
          <c:spPr>
            <a:solidFill>
              <a:srgbClr val="8B5E3C"/>
            </a:solidFill>
            <a:ln>
              <a:noFill/>
            </a:ln>
          </c:spPr>
          <c:invertIfNegative val="0"/>
          <c:cat>
            <c:strRef>
              <c:f>'Summary project payments'!$C$31:$K$31</c:f>
              <c:strCache>
                <c:ptCount val="9"/>
                <c:pt idx="0">
                  <c:v>2028</c:v>
                </c:pt>
                <c:pt idx="1">
                  <c:v>2029</c:v>
                </c:pt>
                <c:pt idx="2">
                  <c:v>2030</c:v>
                </c:pt>
                <c:pt idx="3">
                  <c:v>2031</c:v>
                </c:pt>
                <c:pt idx="4">
                  <c:v>2032</c:v>
                </c:pt>
                <c:pt idx="5">
                  <c:v>2033</c:v>
                </c:pt>
                <c:pt idx="6">
                  <c:v>2034</c:v>
                </c:pt>
                <c:pt idx="7">
                  <c:v>2035</c:v>
                </c:pt>
                <c:pt idx="8">
                  <c:v>after closure</c:v>
                </c:pt>
              </c:strCache>
            </c:strRef>
          </c:cat>
          <c:val>
            <c:numRef>
              <c:f>'Summary project payments'!$C$41:$K$41</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9-61EC-4CF6-BEE7-BB487928D72E}"/>
            </c:ext>
          </c:extLst>
        </c:ser>
        <c:dLbls>
          <c:showLegendKey val="0"/>
          <c:showVal val="0"/>
          <c:showCatName val="0"/>
          <c:showSerName val="0"/>
          <c:showPercent val="0"/>
          <c:showBubbleSize val="0"/>
        </c:dLbls>
        <c:gapWidth val="60"/>
        <c:overlap val="100"/>
        <c:axId val="50010"/>
        <c:axId val="50020"/>
      </c:barChart>
      <c:catAx>
        <c:axId val="50010"/>
        <c:scaling>
          <c:orientation val="minMax"/>
        </c:scaling>
        <c:delete val="0"/>
        <c:axPos val="b"/>
        <c:numFmt formatCode="General" sourceLinked="0"/>
        <c:majorTickMark val="none"/>
        <c:minorTickMark val="none"/>
        <c:tickLblPos val="low"/>
        <c:txPr>
          <a:bodyPr/>
          <a:lstStyle/>
          <a:p>
            <a:pPr>
              <a:defRPr sz="900" b="0">
                <a:solidFill>
                  <a:srgbClr val="595959"/>
                </a:solidFill>
              </a:defRPr>
            </a:pPr>
            <a:endParaRPr lang="en-GB"/>
          </a:p>
        </c:txPr>
        <c:crossAx val="50020"/>
        <c:crosses val="autoZero"/>
        <c:auto val="1"/>
        <c:lblAlgn val="ctr"/>
        <c:lblOffset val="100"/>
        <c:noMultiLvlLbl val="0"/>
      </c:catAx>
      <c:valAx>
        <c:axId val="50020"/>
        <c:scaling>
          <c:orientation val="minMax"/>
        </c:scaling>
        <c:delete val="0"/>
        <c:axPos val="l"/>
        <c:majorGridlines>
          <c:spPr>
            <a:ln w="9525">
              <a:solidFill>
                <a:srgbClr val="D9D9D9"/>
              </a:solidFill>
            </a:ln>
          </c:spPr>
        </c:majorGridlines>
        <c:title>
          <c:tx>
            <c:rich>
              <a:bodyPr rot="-5400000" vert="horz"/>
              <a:lstStyle/>
              <a:p>
                <a:pPr>
                  <a:defRPr sz="900" b="0"/>
                </a:pPr>
                <a:r>
                  <a:rPr lang="en-GB" sz="900" b="0"/>
                  <a:t>EUR</a:t>
                </a:r>
              </a:p>
            </c:rich>
          </c:tx>
          <c:overlay val="0"/>
        </c:title>
        <c:numFmt formatCode="#,##0" sourceLinked="0"/>
        <c:majorTickMark val="none"/>
        <c:minorTickMark val="none"/>
        <c:tickLblPos val="nextTo"/>
        <c:txPr>
          <a:bodyPr/>
          <a:lstStyle/>
          <a:p>
            <a:pPr>
              <a:defRPr sz="900" b="0">
                <a:solidFill>
                  <a:srgbClr val="595959"/>
                </a:solidFill>
              </a:defRPr>
            </a:pPr>
            <a:endParaRPr lang="en-GB"/>
          </a:p>
        </c:txPr>
        <c:crossAx val="50010"/>
        <c:crosses val="autoZero"/>
        <c:crossBetween val="between"/>
      </c:valAx>
      <c:spPr>
        <a:noFill/>
      </c:spPr>
    </c:plotArea>
    <c:legend>
      <c:legendPos val="b"/>
      <c:overlay val="0"/>
      <c:txPr>
        <a:bodyPr/>
        <a:lstStyle/>
        <a:p>
          <a:pPr>
            <a:defRPr sz="900" b="0">
              <a:solidFill>
                <a:srgbClr val="595959"/>
              </a:solidFill>
            </a:defRPr>
          </a:pPr>
          <a:endParaRPr lang="en-GB"/>
        </a:p>
      </c:txPr>
    </c:legend>
    <c:plotVisOnly val="1"/>
    <c:dispBlanksAs val="gap"/>
    <c:showDLblsOverMax val="1"/>
  </c:chart>
  <c:spPr>
    <a:solidFill>
      <a:srgbClr val="FFFFFF"/>
    </a:solidFill>
    <a:ln w="9525">
      <a:solidFill>
        <a:srgbClr val="D9D9D9"/>
      </a:solidFill>
    </a:ln>
  </c:sp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Cumulative</a:t>
            </a:r>
            <a:r>
              <a:rPr lang="en-GB" baseline="0"/>
              <a:t> in</a:t>
            </a:r>
            <a:r>
              <a:rPr lang="en-GB"/>
              <a:t>flows and outflows, Measure 1</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'Measure 1 project payments'!$A$52</c:f>
              <c:strCache>
                <c:ptCount val="1"/>
                <c:pt idx="0">
                  <c:v>cumulative inflows from COM</c:v>
                </c:pt>
              </c:strCache>
            </c:strRef>
          </c:tx>
          <c:spPr>
            <a:solidFill>
              <a:schemeClr val="accent1"/>
            </a:solidFill>
            <a:ln>
              <a:noFill/>
            </a:ln>
            <a:effectLst/>
          </c:spPr>
          <c:invertIfNegative val="0"/>
          <c:cat>
            <c:strRef>
              <c:f>'Measure 1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1 project payments'!$B$52:$J$52</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2E6D-4BE6-B0F4-CC9A9E6C30B7}"/>
            </c:ext>
          </c:extLst>
        </c:ser>
        <c:ser>
          <c:idx val="1"/>
          <c:order val="1"/>
          <c:tx>
            <c:strRef>
              <c:f>'Measure 1 project payments'!$A$53</c:f>
              <c:strCache>
                <c:ptCount val="1"/>
                <c:pt idx="0">
                  <c:v>cumulative payments to projects</c:v>
                </c:pt>
              </c:strCache>
            </c:strRef>
          </c:tx>
          <c:spPr>
            <a:solidFill>
              <a:schemeClr val="accent2"/>
            </a:solidFill>
            <a:ln>
              <a:noFill/>
            </a:ln>
            <a:effectLst/>
          </c:spPr>
          <c:invertIfNegative val="0"/>
          <c:cat>
            <c:strRef>
              <c:f>'Measure 1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1 project payments'!$B$53:$J$53</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1-2E6D-4BE6-B0F4-CC9A9E6C30B7}"/>
            </c:ext>
          </c:extLst>
        </c:ser>
        <c:dLbls>
          <c:showLegendKey val="0"/>
          <c:showVal val="0"/>
          <c:showCatName val="0"/>
          <c:showSerName val="0"/>
          <c:showPercent val="0"/>
          <c:showBubbleSize val="0"/>
        </c:dLbls>
        <c:gapWidth val="219"/>
        <c:overlap val="-27"/>
        <c:axId val="1458978960"/>
        <c:axId val="1458981360"/>
      </c:barChart>
      <c:catAx>
        <c:axId val="14589789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8981360"/>
        <c:crosses val="autoZero"/>
        <c:auto val="1"/>
        <c:lblAlgn val="ctr"/>
        <c:lblOffset val="100"/>
        <c:noMultiLvlLbl val="0"/>
      </c:catAx>
      <c:valAx>
        <c:axId val="1458981360"/>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589789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Cumulative inflows and outflows, Measure 2</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'Measure 2 project payments'!$A$52</c:f>
              <c:strCache>
                <c:ptCount val="1"/>
                <c:pt idx="0">
                  <c:v>cumulative inflows from COM</c:v>
                </c:pt>
              </c:strCache>
            </c:strRef>
          </c:tx>
          <c:spPr>
            <a:solidFill>
              <a:schemeClr val="accent1"/>
            </a:solidFill>
            <a:ln>
              <a:noFill/>
            </a:ln>
            <a:effectLst/>
          </c:spPr>
          <c:invertIfNegative val="0"/>
          <c:cat>
            <c:strRef>
              <c:f>'Measure 2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2 project payments'!$B$52:$J$52</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547B-4332-86D0-720A7D9439AF}"/>
            </c:ext>
          </c:extLst>
        </c:ser>
        <c:ser>
          <c:idx val="1"/>
          <c:order val="1"/>
          <c:tx>
            <c:strRef>
              <c:f>'Measure 2 project payments'!$A$53</c:f>
              <c:strCache>
                <c:ptCount val="1"/>
                <c:pt idx="0">
                  <c:v>cumulative payments to projects</c:v>
                </c:pt>
              </c:strCache>
            </c:strRef>
          </c:tx>
          <c:spPr>
            <a:solidFill>
              <a:schemeClr val="accent2"/>
            </a:solidFill>
            <a:ln>
              <a:noFill/>
            </a:ln>
            <a:effectLst/>
          </c:spPr>
          <c:invertIfNegative val="0"/>
          <c:cat>
            <c:strRef>
              <c:f>'Measure 2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2 project payments'!$B$53:$J$53</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1-547B-4332-86D0-720A7D9439AF}"/>
            </c:ext>
          </c:extLst>
        </c:ser>
        <c:dLbls>
          <c:showLegendKey val="0"/>
          <c:showVal val="0"/>
          <c:showCatName val="0"/>
          <c:showSerName val="0"/>
          <c:showPercent val="0"/>
          <c:showBubbleSize val="0"/>
        </c:dLbls>
        <c:gapWidth val="219"/>
        <c:overlap val="-27"/>
        <c:axId val="299117455"/>
        <c:axId val="299136655"/>
      </c:barChart>
      <c:catAx>
        <c:axId val="2991174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36655"/>
        <c:crosses val="autoZero"/>
        <c:auto val="1"/>
        <c:lblAlgn val="ctr"/>
        <c:lblOffset val="100"/>
        <c:noMultiLvlLbl val="0"/>
      </c:catAx>
      <c:valAx>
        <c:axId val="299136655"/>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1745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Cumulative inflows and outflows, Measure 3</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'Measure 3 project payments'!$A$52</c:f>
              <c:strCache>
                <c:ptCount val="1"/>
                <c:pt idx="0">
                  <c:v>cumulative inflows from COM</c:v>
                </c:pt>
              </c:strCache>
            </c:strRef>
          </c:tx>
          <c:spPr>
            <a:solidFill>
              <a:schemeClr val="accent1"/>
            </a:solidFill>
            <a:ln>
              <a:noFill/>
            </a:ln>
            <a:effectLst/>
          </c:spPr>
          <c:invertIfNegative val="0"/>
          <c:cat>
            <c:strRef>
              <c:f>'Measure 3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3 project payments'!$B$52:$J$52</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8DE8872C-10C1-4F3B-8B88-03E203A35C26}"/>
            </c:ext>
          </c:extLst>
        </c:ser>
        <c:ser>
          <c:idx val="1"/>
          <c:order val="1"/>
          <c:tx>
            <c:strRef>
              <c:f>'Measure 3 project payments'!$A$53</c:f>
              <c:strCache>
                <c:ptCount val="1"/>
                <c:pt idx="0">
                  <c:v>cumulative payments to projects</c:v>
                </c:pt>
              </c:strCache>
            </c:strRef>
          </c:tx>
          <c:spPr>
            <a:solidFill>
              <a:schemeClr val="accent2"/>
            </a:solidFill>
            <a:ln>
              <a:noFill/>
            </a:ln>
            <a:effectLst/>
          </c:spPr>
          <c:invertIfNegative val="0"/>
          <c:cat>
            <c:strRef>
              <c:f>'Measure 3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3 project payments'!$B$53:$J$53</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4873C770-2F97-44BF-9DC7-EF64CD23D76C}"/>
            </c:ext>
          </c:extLst>
        </c:ser>
        <c:dLbls>
          <c:showLegendKey val="0"/>
          <c:showVal val="0"/>
          <c:showCatName val="0"/>
          <c:showSerName val="0"/>
          <c:showPercent val="0"/>
          <c:showBubbleSize val="0"/>
        </c:dLbls>
        <c:gapWidth val="219"/>
        <c:overlap val="-27"/>
        <c:axId val="299117455"/>
        <c:axId val="299136655"/>
      </c:barChart>
      <c:catAx>
        <c:axId val="2991174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36655"/>
        <c:crosses val="autoZero"/>
        <c:auto val="1"/>
        <c:lblAlgn val="ctr"/>
        <c:lblOffset val="100"/>
        <c:noMultiLvlLbl val="0"/>
      </c:catAx>
      <c:valAx>
        <c:axId val="299136655"/>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1745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Cumulative inflows and outflows, Measure 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'Measure 4 project payments'!$A$52</c:f>
              <c:strCache>
                <c:ptCount val="1"/>
                <c:pt idx="0">
                  <c:v>cumulative inflows from COM</c:v>
                </c:pt>
              </c:strCache>
            </c:strRef>
          </c:tx>
          <c:spPr>
            <a:solidFill>
              <a:schemeClr val="accent1"/>
            </a:solidFill>
            <a:ln>
              <a:noFill/>
            </a:ln>
            <a:effectLst/>
          </c:spPr>
          <c:invertIfNegative val="0"/>
          <c:cat>
            <c:strRef>
              <c:f>'Measure 4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4 project payments'!$B$52:$J$52</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8EDC89E9-9EFA-4615-BA00-6F8E2FBFE279}"/>
            </c:ext>
          </c:extLst>
        </c:ser>
        <c:ser>
          <c:idx val="1"/>
          <c:order val="1"/>
          <c:tx>
            <c:strRef>
              <c:f>'Measure 4 project payments'!$A$53</c:f>
              <c:strCache>
                <c:ptCount val="1"/>
                <c:pt idx="0">
                  <c:v>cumulative payments to projects</c:v>
                </c:pt>
              </c:strCache>
            </c:strRef>
          </c:tx>
          <c:spPr>
            <a:solidFill>
              <a:schemeClr val="accent2"/>
            </a:solidFill>
            <a:ln>
              <a:noFill/>
            </a:ln>
            <a:effectLst/>
          </c:spPr>
          <c:invertIfNegative val="0"/>
          <c:cat>
            <c:strRef>
              <c:f>'Measure 4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4 project payments'!$B$53:$J$53</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9AC0782A-97ED-4C87-B933-96624B2E434C}"/>
            </c:ext>
          </c:extLst>
        </c:ser>
        <c:dLbls>
          <c:showLegendKey val="0"/>
          <c:showVal val="0"/>
          <c:showCatName val="0"/>
          <c:showSerName val="0"/>
          <c:showPercent val="0"/>
          <c:showBubbleSize val="0"/>
        </c:dLbls>
        <c:gapWidth val="219"/>
        <c:overlap val="-27"/>
        <c:axId val="299117455"/>
        <c:axId val="299136655"/>
      </c:barChart>
      <c:catAx>
        <c:axId val="2991174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36655"/>
        <c:crosses val="autoZero"/>
        <c:auto val="1"/>
        <c:lblAlgn val="ctr"/>
        <c:lblOffset val="100"/>
        <c:noMultiLvlLbl val="0"/>
      </c:catAx>
      <c:valAx>
        <c:axId val="299136655"/>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1745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Cumulative inflows and outflows, Measure 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'Measure 5 project payments'!$A$52</c:f>
              <c:strCache>
                <c:ptCount val="1"/>
                <c:pt idx="0">
                  <c:v>cumulative inflows from COM</c:v>
                </c:pt>
              </c:strCache>
            </c:strRef>
          </c:tx>
          <c:spPr>
            <a:solidFill>
              <a:schemeClr val="accent1"/>
            </a:solidFill>
            <a:ln>
              <a:noFill/>
            </a:ln>
            <a:effectLst/>
          </c:spPr>
          <c:invertIfNegative val="0"/>
          <c:cat>
            <c:strRef>
              <c:f>'Measure 5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5 project payments'!$B$52:$J$52</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9177A708-AC43-4B15-B084-D75FAE16822D}"/>
            </c:ext>
          </c:extLst>
        </c:ser>
        <c:ser>
          <c:idx val="1"/>
          <c:order val="1"/>
          <c:tx>
            <c:strRef>
              <c:f>'Measure 5 project payments'!$A$53</c:f>
              <c:strCache>
                <c:ptCount val="1"/>
                <c:pt idx="0">
                  <c:v>cumulative payments to projects</c:v>
                </c:pt>
              </c:strCache>
            </c:strRef>
          </c:tx>
          <c:spPr>
            <a:solidFill>
              <a:schemeClr val="accent2"/>
            </a:solidFill>
            <a:ln>
              <a:noFill/>
            </a:ln>
            <a:effectLst/>
          </c:spPr>
          <c:invertIfNegative val="0"/>
          <c:cat>
            <c:strRef>
              <c:f>'Measure 5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5 project payments'!$B$53:$J$53</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F9652E22-4F93-4E5A-8553-5EAEF050F38B}"/>
            </c:ext>
          </c:extLst>
        </c:ser>
        <c:dLbls>
          <c:showLegendKey val="0"/>
          <c:showVal val="0"/>
          <c:showCatName val="0"/>
          <c:showSerName val="0"/>
          <c:showPercent val="0"/>
          <c:showBubbleSize val="0"/>
        </c:dLbls>
        <c:gapWidth val="219"/>
        <c:overlap val="-27"/>
        <c:axId val="299117455"/>
        <c:axId val="299136655"/>
      </c:barChart>
      <c:catAx>
        <c:axId val="2991174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36655"/>
        <c:crosses val="autoZero"/>
        <c:auto val="1"/>
        <c:lblAlgn val="ctr"/>
        <c:lblOffset val="100"/>
        <c:noMultiLvlLbl val="0"/>
      </c:catAx>
      <c:valAx>
        <c:axId val="299136655"/>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1745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Cumulative inflows and outflows, Measure 6</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'Measure 6 project payments'!$A$52</c:f>
              <c:strCache>
                <c:ptCount val="1"/>
                <c:pt idx="0">
                  <c:v>cumulative inflows from COM</c:v>
                </c:pt>
              </c:strCache>
            </c:strRef>
          </c:tx>
          <c:spPr>
            <a:solidFill>
              <a:schemeClr val="accent1"/>
            </a:solidFill>
            <a:ln>
              <a:noFill/>
            </a:ln>
            <a:effectLst/>
          </c:spPr>
          <c:invertIfNegative val="0"/>
          <c:cat>
            <c:strRef>
              <c:f>'Measure 6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6 project payments'!$B$52:$J$52</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AA056958-642E-4F0A-B4D4-E8A58C55C7E7}"/>
            </c:ext>
          </c:extLst>
        </c:ser>
        <c:ser>
          <c:idx val="1"/>
          <c:order val="1"/>
          <c:tx>
            <c:strRef>
              <c:f>'Measure 6 project payments'!$A$53</c:f>
              <c:strCache>
                <c:ptCount val="1"/>
                <c:pt idx="0">
                  <c:v>cumulative payments to projects</c:v>
                </c:pt>
              </c:strCache>
            </c:strRef>
          </c:tx>
          <c:spPr>
            <a:solidFill>
              <a:schemeClr val="accent2"/>
            </a:solidFill>
            <a:ln>
              <a:noFill/>
            </a:ln>
            <a:effectLst/>
          </c:spPr>
          <c:invertIfNegative val="0"/>
          <c:cat>
            <c:strRef>
              <c:f>'Measure 6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6 project payments'!$B$53:$J$53</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C797B851-A8FB-471D-AAC5-5909ADAF64C6}"/>
            </c:ext>
          </c:extLst>
        </c:ser>
        <c:dLbls>
          <c:showLegendKey val="0"/>
          <c:showVal val="0"/>
          <c:showCatName val="0"/>
          <c:showSerName val="0"/>
          <c:showPercent val="0"/>
          <c:showBubbleSize val="0"/>
        </c:dLbls>
        <c:gapWidth val="219"/>
        <c:overlap val="-27"/>
        <c:axId val="299117455"/>
        <c:axId val="299136655"/>
      </c:barChart>
      <c:catAx>
        <c:axId val="2991174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36655"/>
        <c:crosses val="autoZero"/>
        <c:auto val="1"/>
        <c:lblAlgn val="ctr"/>
        <c:lblOffset val="100"/>
        <c:noMultiLvlLbl val="0"/>
      </c:catAx>
      <c:valAx>
        <c:axId val="299136655"/>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1745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Cumulative inflows and outflows, Measure 7</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'Measure 7 project payments'!$A$52</c:f>
              <c:strCache>
                <c:ptCount val="1"/>
                <c:pt idx="0">
                  <c:v>cumulative inflows from COM</c:v>
                </c:pt>
              </c:strCache>
            </c:strRef>
          </c:tx>
          <c:spPr>
            <a:solidFill>
              <a:schemeClr val="accent1"/>
            </a:solidFill>
            <a:ln>
              <a:noFill/>
            </a:ln>
            <a:effectLst/>
          </c:spPr>
          <c:invertIfNegative val="0"/>
          <c:cat>
            <c:strRef>
              <c:f>'Measure 7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7 project payments'!$B$52:$J$52</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3144AC44-17DB-4D27-9C3B-D41F51094146}"/>
            </c:ext>
          </c:extLst>
        </c:ser>
        <c:ser>
          <c:idx val="1"/>
          <c:order val="1"/>
          <c:tx>
            <c:strRef>
              <c:f>'Measure 7 project payments'!$A$53</c:f>
              <c:strCache>
                <c:ptCount val="1"/>
                <c:pt idx="0">
                  <c:v>cumulative payments to projects</c:v>
                </c:pt>
              </c:strCache>
            </c:strRef>
          </c:tx>
          <c:spPr>
            <a:solidFill>
              <a:schemeClr val="accent2"/>
            </a:solidFill>
            <a:ln>
              <a:noFill/>
            </a:ln>
            <a:effectLst/>
          </c:spPr>
          <c:invertIfNegative val="0"/>
          <c:cat>
            <c:strRef>
              <c:f>'Measure 7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7 project payments'!$B$53:$J$53</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2FD89AB6-843D-4F16-A71A-8E429A055A94}"/>
            </c:ext>
          </c:extLst>
        </c:ser>
        <c:dLbls>
          <c:showLegendKey val="0"/>
          <c:showVal val="0"/>
          <c:showCatName val="0"/>
          <c:showSerName val="0"/>
          <c:showPercent val="0"/>
          <c:showBubbleSize val="0"/>
        </c:dLbls>
        <c:gapWidth val="219"/>
        <c:overlap val="-27"/>
        <c:axId val="299117455"/>
        <c:axId val="299136655"/>
      </c:barChart>
      <c:catAx>
        <c:axId val="2991174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36655"/>
        <c:crosses val="autoZero"/>
        <c:auto val="1"/>
        <c:lblAlgn val="ctr"/>
        <c:lblOffset val="100"/>
        <c:noMultiLvlLbl val="0"/>
      </c:catAx>
      <c:valAx>
        <c:axId val="299136655"/>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1745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Cumulative inflows and outflows, Measure 8</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'Measure 8 project payments'!$A$52</c:f>
              <c:strCache>
                <c:ptCount val="1"/>
                <c:pt idx="0">
                  <c:v>cumulative inflows from COM</c:v>
                </c:pt>
              </c:strCache>
            </c:strRef>
          </c:tx>
          <c:spPr>
            <a:solidFill>
              <a:schemeClr val="accent1"/>
            </a:solidFill>
            <a:ln>
              <a:noFill/>
            </a:ln>
            <a:effectLst/>
          </c:spPr>
          <c:invertIfNegative val="0"/>
          <c:cat>
            <c:strRef>
              <c:f>'Measure 8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8 project payments'!$B$52:$J$52</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ECE2F0D5-F28C-4F58-A3C7-0780091766CA}"/>
            </c:ext>
          </c:extLst>
        </c:ser>
        <c:ser>
          <c:idx val="1"/>
          <c:order val="1"/>
          <c:tx>
            <c:strRef>
              <c:f>'Measure 8 project payments'!$A$53</c:f>
              <c:strCache>
                <c:ptCount val="1"/>
                <c:pt idx="0">
                  <c:v>cumulative payments to projects</c:v>
                </c:pt>
              </c:strCache>
            </c:strRef>
          </c:tx>
          <c:spPr>
            <a:solidFill>
              <a:schemeClr val="accent2"/>
            </a:solidFill>
            <a:ln>
              <a:noFill/>
            </a:ln>
            <a:effectLst/>
          </c:spPr>
          <c:invertIfNegative val="0"/>
          <c:cat>
            <c:strRef>
              <c:f>'Measure 8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8 project payments'!$B$53:$J$53</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DC6D62D8-3518-490A-938E-E7F845376C93}"/>
            </c:ext>
          </c:extLst>
        </c:ser>
        <c:dLbls>
          <c:showLegendKey val="0"/>
          <c:showVal val="0"/>
          <c:showCatName val="0"/>
          <c:showSerName val="0"/>
          <c:showPercent val="0"/>
          <c:showBubbleSize val="0"/>
        </c:dLbls>
        <c:gapWidth val="219"/>
        <c:overlap val="-27"/>
        <c:axId val="299117455"/>
        <c:axId val="299136655"/>
      </c:barChart>
      <c:catAx>
        <c:axId val="2991174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36655"/>
        <c:crosses val="autoZero"/>
        <c:auto val="1"/>
        <c:lblAlgn val="ctr"/>
        <c:lblOffset val="100"/>
        <c:noMultiLvlLbl val="0"/>
      </c:catAx>
      <c:valAx>
        <c:axId val="299136655"/>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1745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Cumulative inflows and outflows, Measure 9</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'Measure 9 project payments'!$A$52</c:f>
              <c:strCache>
                <c:ptCount val="1"/>
                <c:pt idx="0">
                  <c:v>cumulative inflows from COM</c:v>
                </c:pt>
              </c:strCache>
            </c:strRef>
          </c:tx>
          <c:spPr>
            <a:solidFill>
              <a:schemeClr val="accent1"/>
            </a:solidFill>
            <a:ln>
              <a:noFill/>
            </a:ln>
            <a:effectLst/>
          </c:spPr>
          <c:invertIfNegative val="0"/>
          <c:cat>
            <c:strRef>
              <c:f>'Measure 9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9 project payments'!$B$52:$J$52</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98037F8E-376D-48E3-A385-F3F71AA88302}"/>
            </c:ext>
          </c:extLst>
        </c:ser>
        <c:ser>
          <c:idx val="1"/>
          <c:order val="1"/>
          <c:tx>
            <c:strRef>
              <c:f>'Measure 9 project payments'!$A$53</c:f>
              <c:strCache>
                <c:ptCount val="1"/>
                <c:pt idx="0">
                  <c:v>cumulative payments to projects</c:v>
                </c:pt>
              </c:strCache>
            </c:strRef>
          </c:tx>
          <c:spPr>
            <a:solidFill>
              <a:schemeClr val="accent2"/>
            </a:solidFill>
            <a:ln>
              <a:noFill/>
            </a:ln>
            <a:effectLst/>
          </c:spPr>
          <c:invertIfNegative val="0"/>
          <c:cat>
            <c:strRef>
              <c:f>'Measure 9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9 project payments'!$B$53:$J$53</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F992AF96-D62B-4EFC-A3F4-EA0B56BEE71A}"/>
            </c:ext>
          </c:extLst>
        </c:ser>
        <c:dLbls>
          <c:showLegendKey val="0"/>
          <c:showVal val="0"/>
          <c:showCatName val="0"/>
          <c:showSerName val="0"/>
          <c:showPercent val="0"/>
          <c:showBubbleSize val="0"/>
        </c:dLbls>
        <c:gapWidth val="219"/>
        <c:overlap val="-27"/>
        <c:axId val="299117455"/>
        <c:axId val="299136655"/>
      </c:barChart>
      <c:catAx>
        <c:axId val="2991174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36655"/>
        <c:crosses val="autoZero"/>
        <c:auto val="1"/>
        <c:lblAlgn val="ctr"/>
        <c:lblOffset val="100"/>
        <c:noMultiLvlLbl val="0"/>
      </c:catAx>
      <c:valAx>
        <c:axId val="299136655"/>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1745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kern="1200" spc="0" baseline="0">
                <a:solidFill>
                  <a:sysClr val="windowText" lastClr="000000">
                    <a:lumMod val="65000"/>
                    <a:lumOff val="35000"/>
                  </a:sysClr>
                </a:solidFill>
              </a:rPr>
              <a:t>Cumulative inflows and outflows, Measure 10</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'Measure 10 project payments'!$A$52</c:f>
              <c:strCache>
                <c:ptCount val="1"/>
                <c:pt idx="0">
                  <c:v>cumulative inflows from COM</c:v>
                </c:pt>
              </c:strCache>
            </c:strRef>
          </c:tx>
          <c:spPr>
            <a:solidFill>
              <a:schemeClr val="accent1"/>
            </a:solidFill>
            <a:ln>
              <a:noFill/>
            </a:ln>
            <a:effectLst/>
          </c:spPr>
          <c:invertIfNegative val="0"/>
          <c:cat>
            <c:strRef>
              <c:f>'Measure 10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10 project payments'!$B$52:$J$52</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471506DC-56B9-4D2B-BAA7-64B356E32307}"/>
            </c:ext>
          </c:extLst>
        </c:ser>
        <c:ser>
          <c:idx val="1"/>
          <c:order val="1"/>
          <c:tx>
            <c:strRef>
              <c:f>'Measure 10 project payments'!$A$53</c:f>
              <c:strCache>
                <c:ptCount val="1"/>
                <c:pt idx="0">
                  <c:v>cumulative payments to projects</c:v>
                </c:pt>
              </c:strCache>
            </c:strRef>
          </c:tx>
          <c:spPr>
            <a:solidFill>
              <a:schemeClr val="accent2"/>
            </a:solidFill>
            <a:ln>
              <a:noFill/>
            </a:ln>
            <a:effectLst/>
          </c:spPr>
          <c:invertIfNegative val="0"/>
          <c:cat>
            <c:strRef>
              <c:f>'Measure 10 project payments'!$B$51:$J$51</c:f>
              <c:strCache>
                <c:ptCount val="9"/>
                <c:pt idx="0">
                  <c:v>2028</c:v>
                </c:pt>
                <c:pt idx="1">
                  <c:v>2029</c:v>
                </c:pt>
                <c:pt idx="2">
                  <c:v>2030</c:v>
                </c:pt>
                <c:pt idx="3">
                  <c:v>2031</c:v>
                </c:pt>
                <c:pt idx="4">
                  <c:v>2032</c:v>
                </c:pt>
                <c:pt idx="5">
                  <c:v>2033</c:v>
                </c:pt>
                <c:pt idx="6">
                  <c:v>2034</c:v>
                </c:pt>
                <c:pt idx="7">
                  <c:v>2035</c:v>
                </c:pt>
                <c:pt idx="8">
                  <c:v>after closure</c:v>
                </c:pt>
              </c:strCache>
            </c:strRef>
          </c:cat>
          <c:val>
            <c:numRef>
              <c:f>'Measure 10 project payments'!$B$53:$J$53</c:f>
              <c:numCache>
                <c:formatCode>_(* #,##0.00_);_(* \(#,##0.00\);_(* "-"??_);_(@_)</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809A00B6-C5EC-417F-8AB5-C3B7048E4E53}"/>
            </c:ext>
          </c:extLst>
        </c:ser>
        <c:dLbls>
          <c:showLegendKey val="0"/>
          <c:showVal val="0"/>
          <c:showCatName val="0"/>
          <c:showSerName val="0"/>
          <c:showPercent val="0"/>
          <c:showBubbleSize val="0"/>
        </c:dLbls>
        <c:gapWidth val="219"/>
        <c:overlap val="-27"/>
        <c:axId val="299117455"/>
        <c:axId val="299136655"/>
      </c:barChart>
      <c:catAx>
        <c:axId val="29911745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36655"/>
        <c:crosses val="autoZero"/>
        <c:auto val="1"/>
        <c:lblAlgn val="ctr"/>
        <c:lblOffset val="100"/>
        <c:noMultiLvlLbl val="0"/>
      </c:catAx>
      <c:valAx>
        <c:axId val="299136655"/>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11745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s>
</file>

<file path=xl/drawings/_rels/drawing6.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21.xml"/></Relationships>
</file>

<file path=xl/drawings/drawing1.xml><?xml version="1.0" encoding="utf-8"?>
<xdr:wsDr xmlns:xdr="http://schemas.openxmlformats.org/drawingml/2006/spreadsheetDrawing" xmlns:a="http://schemas.openxmlformats.org/drawingml/2006/main">
  <xdr:oneCellAnchor>
    <xdr:from>
      <xdr:col>1</xdr:col>
      <xdr:colOff>5899456</xdr:colOff>
      <xdr:row>0</xdr:row>
      <xdr:rowOff>72775</xdr:rowOff>
    </xdr:from>
    <xdr:ext cx="2543175" cy="342900"/>
    <xdr:pic>
      <xdr:nvPicPr>
        <xdr:cNvPr id="2" name="Interact logo" descr="Interact logo">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758342" y="72775"/>
          <a:ext cx="2543175" cy="34290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32</xdr:row>
      <xdr:rowOff>180022</xdr:rowOff>
    </xdr:from>
    <xdr:to>
      <xdr:col>7</xdr:col>
      <xdr:colOff>45720</xdr:colOff>
      <xdr:row>48</xdr:row>
      <xdr:rowOff>25717</xdr:rowOff>
    </xdr:to>
    <xdr:graphicFrame macro="">
      <xdr:nvGraphicFramePr>
        <xdr:cNvPr id="2" name="Chart 1">
          <a:extLst>
            <a:ext uri="{FF2B5EF4-FFF2-40B4-BE49-F238E27FC236}">
              <a16:creationId xmlns:a16="http://schemas.microsoft.com/office/drawing/2014/main" id="{A06D220F-CC42-41EE-8DDB-200F8414A3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26</xdr:col>
      <xdr:colOff>186690</xdr:colOff>
      <xdr:row>51</xdr:row>
      <xdr:rowOff>37147</xdr:rowOff>
    </xdr:from>
    <xdr:to>
      <xdr:col>34</xdr:col>
      <xdr:colOff>276225</xdr:colOff>
      <xdr:row>71</xdr:row>
      <xdr:rowOff>142875</xdr:rowOff>
    </xdr:to>
    <xdr:graphicFrame macro="">
      <xdr:nvGraphicFramePr>
        <xdr:cNvPr id="5" name="Chart 4">
          <a:extLst>
            <a:ext uri="{FF2B5EF4-FFF2-40B4-BE49-F238E27FC236}">
              <a16:creationId xmlns:a16="http://schemas.microsoft.com/office/drawing/2014/main" id="{5154A711-D38B-CA94-5829-E8DAC33773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20</xdr:col>
      <xdr:colOff>51142</xdr:colOff>
      <xdr:row>50</xdr:row>
      <xdr:rowOff>2052</xdr:rowOff>
    </xdr:from>
    <xdr:to>
      <xdr:col>24</xdr:col>
      <xdr:colOff>789549</xdr:colOff>
      <xdr:row>64</xdr:row>
      <xdr:rowOff>178924</xdr:rowOff>
    </xdr:to>
    <xdr:graphicFrame macro="">
      <xdr:nvGraphicFramePr>
        <xdr:cNvPr id="7" name="Chart 6">
          <a:extLst>
            <a:ext uri="{FF2B5EF4-FFF2-40B4-BE49-F238E27FC236}">
              <a16:creationId xmlns:a16="http://schemas.microsoft.com/office/drawing/2014/main" id="{90FB8383-657A-4798-2820-2E77DDD63BD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12</xdr:col>
      <xdr:colOff>6034</xdr:colOff>
      <xdr:row>26</xdr:row>
      <xdr:rowOff>11114</xdr:rowOff>
    </xdr:from>
    <xdr:to>
      <xdr:col>20</xdr:col>
      <xdr:colOff>298768</xdr:colOff>
      <xdr:row>40</xdr:row>
      <xdr:rowOff>22544</xdr:rowOff>
    </xdr:to>
    <xdr:graphicFrame macro="">
      <xdr:nvGraphicFramePr>
        <xdr:cNvPr id="3" name="Chart 2">
          <a:extLst>
            <a:ext uri="{FF2B5EF4-FFF2-40B4-BE49-F238E27FC236}">
              <a16:creationId xmlns:a16="http://schemas.microsoft.com/office/drawing/2014/main" id="{75B186E1-AA68-493C-B868-B4CB866FF6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10819</xdr:colOff>
      <xdr:row>41</xdr:row>
      <xdr:rowOff>18244</xdr:rowOff>
    </xdr:from>
    <xdr:to>
      <xdr:col>18</xdr:col>
      <xdr:colOff>662940</xdr:colOff>
      <xdr:row>62</xdr:row>
      <xdr:rowOff>59372</xdr:rowOff>
    </xdr:to>
    <xdr:graphicFrame macro="">
      <xdr:nvGraphicFramePr>
        <xdr:cNvPr id="5" name="Chart 4">
          <a:extLst>
            <a:ext uri="{FF2B5EF4-FFF2-40B4-BE49-F238E27FC236}">
              <a16:creationId xmlns:a16="http://schemas.microsoft.com/office/drawing/2014/main" id="{50917946-D5B3-46EF-9D22-C6D07729CB8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19684</xdr:colOff>
      <xdr:row>6</xdr:row>
      <xdr:rowOff>114776</xdr:rowOff>
    </xdr:from>
    <xdr:to>
      <xdr:col>17</xdr:col>
      <xdr:colOff>440689</xdr:colOff>
      <xdr:row>21</xdr:row>
      <xdr:rowOff>121443</xdr:rowOff>
    </xdr:to>
    <xdr:graphicFrame macro="">
      <xdr:nvGraphicFramePr>
        <xdr:cNvPr id="2" name="Chart 1">
          <a:extLst>
            <a:ext uri="{FF2B5EF4-FFF2-40B4-BE49-F238E27FC236}">
              <a16:creationId xmlns:a16="http://schemas.microsoft.com/office/drawing/2014/main" id="{A92F4DD5-2F56-3331-30D5-D753470D3D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826770</xdr:colOff>
      <xdr:row>12</xdr:row>
      <xdr:rowOff>22859</xdr:rowOff>
    </xdr:from>
    <xdr:to>
      <xdr:col>2</xdr:col>
      <xdr:colOff>1122045</xdr:colOff>
      <xdr:row>26</xdr:row>
      <xdr:rowOff>86676</xdr:rowOff>
    </xdr:to>
    <xdr:graphicFrame macro="">
      <xdr:nvGraphicFramePr>
        <xdr:cNvPr id="2" name="Chart 1">
          <a:extLst>
            <a:ext uri="{FF2B5EF4-FFF2-40B4-BE49-F238E27FC236}">
              <a16:creationId xmlns:a16="http://schemas.microsoft.com/office/drawing/2014/main" id="{400E1713-8FE5-47DC-8204-0E19E58E256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47625</xdr:colOff>
      <xdr:row>12</xdr:row>
      <xdr:rowOff>8572</xdr:rowOff>
    </xdr:from>
    <xdr:to>
      <xdr:col>7</xdr:col>
      <xdr:colOff>1139190</xdr:colOff>
      <xdr:row>27</xdr:row>
      <xdr:rowOff>46672</xdr:rowOff>
    </xdr:to>
    <xdr:graphicFrame macro="">
      <xdr:nvGraphicFramePr>
        <xdr:cNvPr id="4" name="Chart 3">
          <a:extLst>
            <a:ext uri="{FF2B5EF4-FFF2-40B4-BE49-F238E27FC236}">
              <a16:creationId xmlns:a16="http://schemas.microsoft.com/office/drawing/2014/main" id="{3E47FA61-B11A-A07D-C1D6-0101895686A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12</xdr:col>
      <xdr:colOff>0</xdr:colOff>
      <xdr:row>3</xdr:row>
      <xdr:rowOff>0</xdr:rowOff>
    </xdr:from>
    <xdr:to>
      <xdr:col>22</xdr:col>
      <xdr:colOff>0</xdr:colOff>
      <xdr:row>22</xdr:row>
      <xdr:rowOff>0</xdr:rowOff>
    </xdr:to>
    <xdr:graphicFrame macro="">
      <xdr:nvGraphicFramePr>
        <xdr:cNvPr id="2" name="Summary chart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0</xdr:colOff>
      <xdr:row>23</xdr:row>
      <xdr:rowOff>0</xdr:rowOff>
    </xdr:from>
    <xdr:to>
      <xdr:col>22</xdr:col>
      <xdr:colOff>0</xdr:colOff>
      <xdr:row>44</xdr:row>
      <xdr:rowOff>0</xdr:rowOff>
    </xdr:to>
    <xdr:graphicFrame macro="">
      <xdr:nvGraphicFramePr>
        <xdr:cNvPr id="3" name="Summary chart 2">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0</xdr:colOff>
      <xdr:row>45</xdr:row>
      <xdr:rowOff>0</xdr:rowOff>
    </xdr:from>
    <xdr:to>
      <xdr:col>22</xdr:col>
      <xdr:colOff>0</xdr:colOff>
      <xdr:row>66</xdr:row>
      <xdr:rowOff>0</xdr:rowOff>
    </xdr:to>
    <xdr:graphicFrame macro="">
      <xdr:nvGraphicFramePr>
        <xdr:cNvPr id="4" name="Summary chart 3">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2975292</xdr:colOff>
      <xdr:row>56</xdr:row>
      <xdr:rowOff>5715</xdr:rowOff>
    </xdr:from>
    <xdr:to>
      <xdr:col>6</xdr:col>
      <xdr:colOff>641350</xdr:colOff>
      <xdr:row>72</xdr:row>
      <xdr:rowOff>46039</xdr:rowOff>
    </xdr:to>
    <xdr:graphicFrame macro="">
      <xdr:nvGraphicFramePr>
        <xdr:cNvPr id="2" name="Chart 1">
          <a:extLst>
            <a:ext uri="{FF2B5EF4-FFF2-40B4-BE49-F238E27FC236}">
              <a16:creationId xmlns:a16="http://schemas.microsoft.com/office/drawing/2014/main" id="{99AB3725-983F-49EB-89A9-37291E49FB2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292416</xdr:colOff>
      <xdr:row>56</xdr:row>
      <xdr:rowOff>73342</xdr:rowOff>
    </xdr:from>
    <xdr:to>
      <xdr:col>7</xdr:col>
      <xdr:colOff>403859</xdr:colOff>
      <xdr:row>73</xdr:row>
      <xdr:rowOff>85725</xdr:rowOff>
    </xdr:to>
    <xdr:graphicFrame macro="">
      <xdr:nvGraphicFramePr>
        <xdr:cNvPr id="3" name="Chart 2">
          <a:extLst>
            <a:ext uri="{FF2B5EF4-FFF2-40B4-BE49-F238E27FC236}">
              <a16:creationId xmlns:a16="http://schemas.microsoft.com/office/drawing/2014/main" id="{C5DF2488-C53E-DFC8-6886-A847C1749F3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292416</xdr:colOff>
      <xdr:row>56</xdr:row>
      <xdr:rowOff>73342</xdr:rowOff>
    </xdr:from>
    <xdr:to>
      <xdr:col>7</xdr:col>
      <xdr:colOff>403859</xdr:colOff>
      <xdr:row>73</xdr:row>
      <xdr:rowOff>85725</xdr:rowOff>
    </xdr:to>
    <xdr:graphicFrame macro="">
      <xdr:nvGraphicFramePr>
        <xdr:cNvPr id="3" name="Chart 2">
          <a:extLst>
            <a:ext uri="{FF2B5EF4-FFF2-40B4-BE49-F238E27FC236}">
              <a16:creationId xmlns:a16="http://schemas.microsoft.com/office/drawing/2014/main" id="{611DFE48-AF86-4021-BB00-6935519DA1F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292416</xdr:colOff>
      <xdr:row>56</xdr:row>
      <xdr:rowOff>73342</xdr:rowOff>
    </xdr:from>
    <xdr:to>
      <xdr:col>7</xdr:col>
      <xdr:colOff>403859</xdr:colOff>
      <xdr:row>73</xdr:row>
      <xdr:rowOff>85725</xdr:rowOff>
    </xdr:to>
    <xdr:graphicFrame macro="">
      <xdr:nvGraphicFramePr>
        <xdr:cNvPr id="3" name="Chart 2">
          <a:extLst>
            <a:ext uri="{FF2B5EF4-FFF2-40B4-BE49-F238E27FC236}">
              <a16:creationId xmlns:a16="http://schemas.microsoft.com/office/drawing/2014/main" id="{588DF333-D81A-4927-AD96-1D466675FAC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292416</xdr:colOff>
      <xdr:row>56</xdr:row>
      <xdr:rowOff>73342</xdr:rowOff>
    </xdr:from>
    <xdr:to>
      <xdr:col>7</xdr:col>
      <xdr:colOff>403859</xdr:colOff>
      <xdr:row>73</xdr:row>
      <xdr:rowOff>85725</xdr:rowOff>
    </xdr:to>
    <xdr:graphicFrame macro="">
      <xdr:nvGraphicFramePr>
        <xdr:cNvPr id="3" name="Chart 2">
          <a:extLst>
            <a:ext uri="{FF2B5EF4-FFF2-40B4-BE49-F238E27FC236}">
              <a16:creationId xmlns:a16="http://schemas.microsoft.com/office/drawing/2014/main" id="{DC9AF611-248F-4AA6-A833-33E1579E577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292416</xdr:colOff>
      <xdr:row>56</xdr:row>
      <xdr:rowOff>73342</xdr:rowOff>
    </xdr:from>
    <xdr:to>
      <xdr:col>7</xdr:col>
      <xdr:colOff>403859</xdr:colOff>
      <xdr:row>73</xdr:row>
      <xdr:rowOff>85725</xdr:rowOff>
    </xdr:to>
    <xdr:graphicFrame macro="">
      <xdr:nvGraphicFramePr>
        <xdr:cNvPr id="3" name="Chart 2">
          <a:extLst>
            <a:ext uri="{FF2B5EF4-FFF2-40B4-BE49-F238E27FC236}">
              <a16:creationId xmlns:a16="http://schemas.microsoft.com/office/drawing/2014/main" id="{FF0C64EC-F299-4436-8C0F-2BE0BAF5063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292416</xdr:colOff>
      <xdr:row>56</xdr:row>
      <xdr:rowOff>73342</xdr:rowOff>
    </xdr:from>
    <xdr:to>
      <xdr:col>7</xdr:col>
      <xdr:colOff>403859</xdr:colOff>
      <xdr:row>73</xdr:row>
      <xdr:rowOff>85725</xdr:rowOff>
    </xdr:to>
    <xdr:graphicFrame macro="">
      <xdr:nvGraphicFramePr>
        <xdr:cNvPr id="3" name="Chart 2">
          <a:extLst>
            <a:ext uri="{FF2B5EF4-FFF2-40B4-BE49-F238E27FC236}">
              <a16:creationId xmlns:a16="http://schemas.microsoft.com/office/drawing/2014/main" id="{46D52EB4-A3DA-4288-BEB8-B60A3839A41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292416</xdr:colOff>
      <xdr:row>56</xdr:row>
      <xdr:rowOff>73342</xdr:rowOff>
    </xdr:from>
    <xdr:to>
      <xdr:col>7</xdr:col>
      <xdr:colOff>403859</xdr:colOff>
      <xdr:row>73</xdr:row>
      <xdr:rowOff>85725</xdr:rowOff>
    </xdr:to>
    <xdr:graphicFrame macro="">
      <xdr:nvGraphicFramePr>
        <xdr:cNvPr id="3" name="Chart 2">
          <a:extLst>
            <a:ext uri="{FF2B5EF4-FFF2-40B4-BE49-F238E27FC236}">
              <a16:creationId xmlns:a16="http://schemas.microsoft.com/office/drawing/2014/main" id="{795622D7-B667-40E1-91B5-44682E81348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1</xdr:col>
      <xdr:colOff>292416</xdr:colOff>
      <xdr:row>56</xdr:row>
      <xdr:rowOff>73342</xdr:rowOff>
    </xdr:from>
    <xdr:to>
      <xdr:col>7</xdr:col>
      <xdr:colOff>403859</xdr:colOff>
      <xdr:row>73</xdr:row>
      <xdr:rowOff>85725</xdr:rowOff>
    </xdr:to>
    <xdr:graphicFrame macro="">
      <xdr:nvGraphicFramePr>
        <xdr:cNvPr id="3" name="Chart 2">
          <a:extLst>
            <a:ext uri="{FF2B5EF4-FFF2-40B4-BE49-F238E27FC236}">
              <a16:creationId xmlns:a16="http://schemas.microsoft.com/office/drawing/2014/main" id="{E57E079A-6AF3-4CB8-A06C-6092763400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1</xdr:col>
      <xdr:colOff>292416</xdr:colOff>
      <xdr:row>56</xdr:row>
      <xdr:rowOff>73342</xdr:rowOff>
    </xdr:from>
    <xdr:to>
      <xdr:col>7</xdr:col>
      <xdr:colOff>403859</xdr:colOff>
      <xdr:row>73</xdr:row>
      <xdr:rowOff>85725</xdr:rowOff>
    </xdr:to>
    <xdr:graphicFrame macro="">
      <xdr:nvGraphicFramePr>
        <xdr:cNvPr id="3" name="Chart 2">
          <a:extLst>
            <a:ext uri="{FF2B5EF4-FFF2-40B4-BE49-F238E27FC236}">
              <a16:creationId xmlns:a16="http://schemas.microsoft.com/office/drawing/2014/main" id="{EFA4DA1E-FCAC-4186-98E6-6FF7F4B239B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Sanna Erkko | Interact" id="{5E252EC2-08DA-4CAF-A3CF-6D81B66AEFE9}" userId="S::sanna.erkko@interact.eu::762f37e3-0f3e-4d5f-81d1-52f6232804f6"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26" dT="2026-09-03T10:42:24.90" personId="{5E252EC2-08DA-4CAF-A3CF-6D81B66AEFE9}" id="{D51650E6-119F-4CF9-B73C-51921B92A9DC}">
    <text>Calculated amounts where clearing of pre-financing and 95 % ceiling are not included</text>
  </threadedComment>
  <threadedComment ref="A27" dT="2026-09-03T10:42:41.53" personId="{5E252EC2-08DA-4CAF-A3CF-6D81B66AEFE9}" id="{82EA4D80-DE92-4923-85BA-1DD88ADC6074}">
    <text xml:space="preserve">Calculated amounts where clearing of pre-financing and 95 % ceiling are not included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pageSetUpPr fitToPage="1"/>
  </sheetPr>
  <dimension ref="A1:B60"/>
  <sheetViews>
    <sheetView showGridLines="0" tabSelected="1" zoomScale="58" zoomScaleNormal="90" workbookViewId="0">
      <selection activeCell="A8" sqref="A8:B8"/>
    </sheetView>
  </sheetViews>
  <sheetFormatPr defaultRowHeight="15.05" x14ac:dyDescent="0.3"/>
  <cols>
    <col min="1" max="1" width="26" customWidth="1"/>
    <col min="2" max="2" width="120" customWidth="1"/>
  </cols>
  <sheetData>
    <row r="1" spans="1:2" ht="39.950000000000003" customHeight="1" x14ac:dyDescent="0.3"/>
    <row r="2" spans="1:2" ht="30.05" customHeight="1" x14ac:dyDescent="0.3">
      <c r="A2" s="146" t="s">
        <v>0</v>
      </c>
      <c r="B2" s="147"/>
    </row>
    <row r="3" spans="1:2" ht="21.95" customHeight="1" x14ac:dyDescent="0.3">
      <c r="A3" s="145" t="s">
        <v>1</v>
      </c>
      <c r="B3" s="145"/>
    </row>
    <row r="4" spans="1:2" ht="57.6" x14ac:dyDescent="0.3">
      <c r="A4" s="127" t="s">
        <v>2</v>
      </c>
      <c r="B4" s="127" t="s">
        <v>457</v>
      </c>
    </row>
    <row r="5" spans="1:2" ht="28.8" x14ac:dyDescent="0.3">
      <c r="A5" s="127" t="s">
        <v>3</v>
      </c>
      <c r="B5" s="127" t="s">
        <v>4</v>
      </c>
    </row>
    <row r="6" spans="1:2" ht="58.7" customHeight="1" x14ac:dyDescent="0.3">
      <c r="A6" s="127" t="s">
        <v>5</v>
      </c>
      <c r="B6" s="127" t="s">
        <v>6</v>
      </c>
    </row>
    <row r="8" spans="1:2" ht="21.95" customHeight="1" x14ac:dyDescent="0.3">
      <c r="A8" s="145" t="s">
        <v>7</v>
      </c>
      <c r="B8" s="145"/>
    </row>
    <row r="9" spans="1:2" ht="14.4" x14ac:dyDescent="0.3">
      <c r="A9" s="20" t="s">
        <v>8</v>
      </c>
      <c r="B9" s="127" t="s">
        <v>9</v>
      </c>
    </row>
    <row r="10" spans="1:2" ht="14.4" x14ac:dyDescent="0.3">
      <c r="A10" s="17" t="s">
        <v>10</v>
      </c>
      <c r="B10" s="127" t="s">
        <v>11</v>
      </c>
    </row>
    <row r="11" spans="1:2" ht="14.4" x14ac:dyDescent="0.3">
      <c r="A11" s="50" t="s">
        <v>12</v>
      </c>
      <c r="B11" s="127" t="s">
        <v>13</v>
      </c>
    </row>
    <row r="12" spans="1:2" ht="18" x14ac:dyDescent="0.3">
      <c r="A12" s="124" t="s">
        <v>14</v>
      </c>
      <c r="B12" s="127" t="s">
        <v>15</v>
      </c>
    </row>
    <row r="13" spans="1:2" ht="30.05" customHeight="1" x14ac:dyDescent="0.3">
      <c r="A13" s="127" t="s">
        <v>16</v>
      </c>
      <c r="B13" s="127" t="s">
        <v>17</v>
      </c>
    </row>
    <row r="15" spans="1:2" ht="21.95" customHeight="1" x14ac:dyDescent="0.3">
      <c r="A15" s="145" t="s">
        <v>18</v>
      </c>
      <c r="B15" s="145"/>
    </row>
    <row r="16" spans="1:2" ht="45.55" customHeight="1" x14ac:dyDescent="0.3">
      <c r="A16" s="127" t="s">
        <v>19</v>
      </c>
      <c r="B16" s="127" t="s">
        <v>20</v>
      </c>
    </row>
    <row r="17" spans="1:2" ht="31.3" customHeight="1" x14ac:dyDescent="0.3">
      <c r="A17" s="127" t="s">
        <v>21</v>
      </c>
      <c r="B17" s="127" t="s">
        <v>22</v>
      </c>
    </row>
    <row r="18" spans="1:2" ht="60.1" x14ac:dyDescent="0.3">
      <c r="A18" s="127" t="s">
        <v>23</v>
      </c>
      <c r="B18" s="127" t="s">
        <v>24</v>
      </c>
    </row>
    <row r="19" spans="1:2" ht="45.1" x14ac:dyDescent="0.3">
      <c r="A19" s="127" t="s">
        <v>25</v>
      </c>
      <c r="B19" s="127" t="s">
        <v>26</v>
      </c>
    </row>
    <row r="20" spans="1:2" ht="30.05" x14ac:dyDescent="0.3">
      <c r="A20" s="127" t="s">
        <v>27</v>
      </c>
      <c r="B20" s="127" t="s">
        <v>28</v>
      </c>
    </row>
    <row r="21" spans="1:2" ht="30.05" x14ac:dyDescent="0.3">
      <c r="A21" s="127" t="s">
        <v>29</v>
      </c>
      <c r="B21" s="127" t="s">
        <v>30</v>
      </c>
    </row>
    <row r="22" spans="1:2" ht="30.05" x14ac:dyDescent="0.3">
      <c r="A22" s="127" t="s">
        <v>31</v>
      </c>
      <c r="B22" s="127" t="s">
        <v>32</v>
      </c>
    </row>
    <row r="24" spans="1:2" ht="21.95" customHeight="1" x14ac:dyDescent="0.3">
      <c r="A24" s="145" t="s">
        <v>33</v>
      </c>
      <c r="B24" s="145"/>
    </row>
    <row r="25" spans="1:2" x14ac:dyDescent="0.3">
      <c r="A25" s="127" t="s">
        <v>34</v>
      </c>
      <c r="B25" s="127" t="s">
        <v>35</v>
      </c>
    </row>
    <row r="26" spans="1:2" ht="30.05" x14ac:dyDescent="0.3">
      <c r="A26" s="127" t="s">
        <v>36</v>
      </c>
      <c r="B26" s="127" t="s">
        <v>37</v>
      </c>
    </row>
    <row r="27" spans="1:2" ht="35.4" customHeight="1" x14ac:dyDescent="0.3">
      <c r="A27" s="127" t="s">
        <v>38</v>
      </c>
      <c r="B27" s="127" t="s">
        <v>39</v>
      </c>
    </row>
    <row r="28" spans="1:2" x14ac:dyDescent="0.3">
      <c r="A28" s="127" t="s">
        <v>40</v>
      </c>
      <c r="B28" s="127" t="s">
        <v>41</v>
      </c>
    </row>
    <row r="29" spans="1:2" x14ac:dyDescent="0.3">
      <c r="A29" s="127" t="s">
        <v>42</v>
      </c>
      <c r="B29" s="127" t="s">
        <v>43</v>
      </c>
    </row>
    <row r="30" spans="1:2" ht="60.1" x14ac:dyDescent="0.3">
      <c r="A30" s="127" t="s">
        <v>44</v>
      </c>
      <c r="B30" s="127" t="s">
        <v>45</v>
      </c>
    </row>
    <row r="31" spans="1:2" ht="30.05" x14ac:dyDescent="0.3">
      <c r="A31" s="127" t="s">
        <v>46</v>
      </c>
      <c r="B31" s="127" t="s">
        <v>47</v>
      </c>
    </row>
    <row r="33" spans="1:2" ht="21.95" customHeight="1" x14ac:dyDescent="0.3">
      <c r="A33" s="145" t="s">
        <v>48</v>
      </c>
      <c r="B33" s="145"/>
    </row>
    <row r="34" spans="1:2" ht="104.4" customHeight="1" x14ac:dyDescent="0.3">
      <c r="A34" s="127" t="s">
        <v>49</v>
      </c>
      <c r="B34" s="127" t="s">
        <v>50</v>
      </c>
    </row>
    <row r="35" spans="1:2" ht="30.05" x14ac:dyDescent="0.3">
      <c r="A35" s="127" t="s">
        <v>51</v>
      </c>
      <c r="B35" s="127" t="s">
        <v>52</v>
      </c>
    </row>
    <row r="36" spans="1:2" ht="30.05" x14ac:dyDescent="0.3">
      <c r="A36" s="127" t="s">
        <v>53</v>
      </c>
      <c r="B36" s="127" t="s">
        <v>54</v>
      </c>
    </row>
    <row r="37" spans="1:2" ht="30.05" x14ac:dyDescent="0.3">
      <c r="A37" s="127" t="s">
        <v>55</v>
      </c>
      <c r="B37" s="127" t="s">
        <v>56</v>
      </c>
    </row>
    <row r="38" spans="1:2" x14ac:dyDescent="0.3">
      <c r="A38" s="127" t="s">
        <v>57</v>
      </c>
      <c r="B38" s="127" t="s">
        <v>58</v>
      </c>
    </row>
    <row r="40" spans="1:2" ht="21.95" customHeight="1" x14ac:dyDescent="0.3">
      <c r="A40" s="145" t="s">
        <v>59</v>
      </c>
      <c r="B40" s="145"/>
    </row>
    <row r="41" spans="1:2" ht="30.05" x14ac:dyDescent="0.3">
      <c r="A41" s="127" t="s">
        <v>60</v>
      </c>
      <c r="B41" s="127" t="s">
        <v>61</v>
      </c>
    </row>
    <row r="42" spans="1:2" x14ac:dyDescent="0.3">
      <c r="A42" s="127" t="s">
        <v>62</v>
      </c>
      <c r="B42" s="127" t="s">
        <v>63</v>
      </c>
    </row>
    <row r="43" spans="1:2" x14ac:dyDescent="0.3">
      <c r="A43" s="127" t="s">
        <v>64</v>
      </c>
      <c r="B43" s="127" t="s">
        <v>65</v>
      </c>
    </row>
    <row r="44" spans="1:2" ht="30.05" x14ac:dyDescent="0.3">
      <c r="A44" s="127" t="s">
        <v>66</v>
      </c>
      <c r="B44" s="127" t="s">
        <v>67</v>
      </c>
    </row>
    <row r="46" spans="1:2" ht="21.95" customHeight="1" x14ac:dyDescent="0.3">
      <c r="A46" s="145" t="s">
        <v>68</v>
      </c>
      <c r="B46" s="145"/>
    </row>
    <row r="47" spans="1:2" ht="45.1" x14ac:dyDescent="0.3">
      <c r="A47" s="127" t="s">
        <v>69</v>
      </c>
      <c r="B47" s="127" t="s">
        <v>70</v>
      </c>
    </row>
    <row r="48" spans="1:2" ht="21.95" customHeight="1" x14ac:dyDescent="0.3">
      <c r="A48" s="145" t="s">
        <v>71</v>
      </c>
      <c r="B48" s="145"/>
    </row>
    <row r="49" spans="1:2" x14ac:dyDescent="0.3">
      <c r="A49" s="127" t="s">
        <v>72</v>
      </c>
      <c r="B49" s="127" t="s">
        <v>73</v>
      </c>
    </row>
    <row r="50" spans="1:2" x14ac:dyDescent="0.3">
      <c r="A50" s="127" t="s">
        <v>74</v>
      </c>
      <c r="B50" s="144">
        <v>46331</v>
      </c>
    </row>
    <row r="51" spans="1:2" x14ac:dyDescent="0.3">
      <c r="A51" s="127" t="s">
        <v>75</v>
      </c>
      <c r="B51" s="127" t="s">
        <v>76</v>
      </c>
    </row>
    <row r="52" spans="1:2" x14ac:dyDescent="0.3">
      <c r="A52" s="127" t="s">
        <v>77</v>
      </c>
      <c r="B52" s="127" t="s">
        <v>78</v>
      </c>
    </row>
    <row r="53" spans="1:2" x14ac:dyDescent="0.3">
      <c r="A53" s="127" t="s">
        <v>79</v>
      </c>
      <c r="B53" s="127" t="s">
        <v>80</v>
      </c>
    </row>
    <row r="54" spans="1:2" ht="30.05" x14ac:dyDescent="0.3">
      <c r="A54" s="127" t="s">
        <v>81</v>
      </c>
      <c r="B54" s="127" t="s">
        <v>82</v>
      </c>
    </row>
    <row r="55" spans="1:2" ht="30.05" x14ac:dyDescent="0.3">
      <c r="A55" s="127" t="s">
        <v>83</v>
      </c>
      <c r="B55" s="127" t="s">
        <v>84</v>
      </c>
    </row>
    <row r="56" spans="1:2" ht="30.05" x14ac:dyDescent="0.3">
      <c r="A56" s="127" t="s">
        <v>85</v>
      </c>
      <c r="B56" s="127" t="s">
        <v>86</v>
      </c>
    </row>
    <row r="57" spans="1:2" ht="45.1" x14ac:dyDescent="0.3">
      <c r="A57" s="127" t="s">
        <v>87</v>
      </c>
      <c r="B57" s="127" t="s">
        <v>88</v>
      </c>
    </row>
    <row r="58" spans="1:2" ht="30.05" x14ac:dyDescent="0.3">
      <c r="A58" s="127" t="s">
        <v>89</v>
      </c>
      <c r="B58" s="127" t="s">
        <v>90</v>
      </c>
    </row>
    <row r="59" spans="1:2" ht="45.1" x14ac:dyDescent="0.3">
      <c r="A59" s="127" t="s">
        <v>91</v>
      </c>
      <c r="B59" s="127" t="s">
        <v>92</v>
      </c>
    </row>
    <row r="60" spans="1:2" x14ac:dyDescent="0.3">
      <c r="A60" s="127" t="s">
        <v>93</v>
      </c>
      <c r="B60" s="127" t="s">
        <v>94</v>
      </c>
    </row>
  </sheetData>
  <mergeCells count="9">
    <mergeCell ref="A46:B46"/>
    <mergeCell ref="A48:B48"/>
    <mergeCell ref="A33:B33"/>
    <mergeCell ref="A40:B40"/>
    <mergeCell ref="A2:B2"/>
    <mergeCell ref="A3:B3"/>
    <mergeCell ref="A8:B8"/>
    <mergeCell ref="A15:B15"/>
    <mergeCell ref="A24:B24"/>
  </mergeCells>
  <pageMargins left="0.7" right="0.7" top="0.75" bottom="0.75" header="0.3" footer="0.3"/>
  <pageSetup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G60"/>
  <sheetViews>
    <sheetView showGridLines="0" workbookViewId="0">
      <pane ySplit="6" topLeftCell="A7" activePane="bottomLeft" state="frozen"/>
      <selection pane="bottomLeft" activeCell="C24" sqref="C24"/>
    </sheetView>
  </sheetViews>
  <sheetFormatPr defaultRowHeight="15.05" x14ac:dyDescent="0.3"/>
  <cols>
    <col min="1" max="1" width="17" customWidth="1"/>
    <col min="2" max="2" width="44" customWidth="1"/>
    <col min="3" max="3" width="62" customWidth="1"/>
    <col min="4" max="4" width="18" customWidth="1"/>
    <col min="5" max="5" width="52" customWidth="1"/>
    <col min="6" max="6" width="62" customWidth="1"/>
    <col min="7" max="7" width="56" customWidth="1"/>
  </cols>
  <sheetData>
    <row r="1" spans="1:7" ht="30.05" customHeight="1" x14ac:dyDescent="0.3">
      <c r="A1" s="147" t="s">
        <v>95</v>
      </c>
      <c r="B1" s="147"/>
      <c r="C1" s="147"/>
      <c r="D1" s="147"/>
      <c r="E1" s="147"/>
      <c r="F1" s="147"/>
      <c r="G1" s="147"/>
    </row>
    <row r="2" spans="1:7" ht="34" customHeight="1" x14ac:dyDescent="0.3">
      <c r="A2" s="148" t="s">
        <v>96</v>
      </c>
      <c r="B2" s="149"/>
      <c r="C2" s="149"/>
      <c r="D2" s="149"/>
      <c r="E2" s="149"/>
      <c r="F2" s="149"/>
      <c r="G2" s="149"/>
    </row>
    <row r="3" spans="1:7" ht="14.4" x14ac:dyDescent="0.3">
      <c r="A3" s="18" t="s">
        <v>97</v>
      </c>
      <c r="B3" s="128" t="str">
        <f>IF((COUNTIF($E$7:$E$29,"CHECK*")+SUMPRODUCT(--ISERROR($E$7:$E$29)))=0,"All checks passed ("&amp;COUNTIF($E$7:$E$29,"OK*")&amp;" OK, "&amp;COUNTIF($E$7:$E$29,"INFO*")&amp;" for information)","CHECKS FAILED: "&amp;(COUNTIF($E$7:$E$29,"CHECK*")+SUMPRODUCT(--ISERROR($E$7:$E$29)))&amp;" of "&amp;ROWS($E$7:$E$29))</f>
        <v>CHECKS FAILED: 2 of 23</v>
      </c>
    </row>
    <row r="4" spans="1:7" ht="14.4" x14ac:dyDescent="0.3">
      <c r="A4" s="18" t="s">
        <v>98</v>
      </c>
      <c r="B4" s="122">
        <v>1</v>
      </c>
    </row>
    <row r="6" spans="1:7" ht="30.05" customHeight="1" x14ac:dyDescent="0.3">
      <c r="A6" s="124" t="s">
        <v>99</v>
      </c>
      <c r="B6" s="124" t="s">
        <v>100</v>
      </c>
      <c r="C6" s="124" t="s">
        <v>101</v>
      </c>
      <c r="D6" s="124" t="s">
        <v>102</v>
      </c>
      <c r="E6" s="124" t="s">
        <v>103</v>
      </c>
      <c r="F6" s="124" t="s">
        <v>104</v>
      </c>
      <c r="G6" s="124" t="s">
        <v>105</v>
      </c>
    </row>
    <row r="7" spans="1:7" ht="14.4" x14ac:dyDescent="0.3">
      <c r="A7" s="127" t="s">
        <v>106</v>
      </c>
      <c r="B7" s="127" t="s">
        <v>107</v>
      </c>
      <c r="C7" s="127" t="s">
        <v>108</v>
      </c>
      <c r="D7" s="50">
        <f>'pay out values'!D15</f>
        <v>0</v>
      </c>
      <c r="E7" s="128" t="str">
        <f>IF(D7&gt;0,"OK","CHECK: enter the Union contribution")</f>
        <v>CHECK: enter the Union contribution</v>
      </c>
      <c r="F7" s="127" t="s">
        <v>109</v>
      </c>
      <c r="G7" s="127" t="s">
        <v>110</v>
      </c>
    </row>
    <row r="8" spans="1:7" ht="14.4" x14ac:dyDescent="0.3">
      <c r="A8" s="127" t="s">
        <v>111</v>
      </c>
      <c r="B8" s="127" t="s">
        <v>112</v>
      </c>
      <c r="C8" s="127" t="s">
        <v>113</v>
      </c>
      <c r="D8" s="50">
        <f>'pay out values'!C37</f>
        <v>0</v>
      </c>
      <c r="E8" s="128" t="str">
        <f>IF(ABS(D8-1)&lt;0.00005,"OK","CHECK: allocations add up to "&amp;FIXED((D8)*100,1)&amp;"%")</f>
        <v>CHECK: allocations add up to 0,0%</v>
      </c>
      <c r="F8" s="127" t="s">
        <v>114</v>
      </c>
      <c r="G8" s="127" t="s">
        <v>115</v>
      </c>
    </row>
    <row r="9" spans="1:7" ht="14.4" x14ac:dyDescent="0.3">
      <c r="A9" s="127" t="s">
        <v>116</v>
      </c>
      <c r="B9" s="127" t="s">
        <v>117</v>
      </c>
      <c r="C9" s="127" t="s">
        <v>118</v>
      </c>
      <c r="D9" s="50">
        <f>COUNTIF('pay out values'!F27:F36,"&lt;=0")+COUNTIF('pay out values'!F27:F36,"&gt;1")</f>
        <v>0</v>
      </c>
      <c r="E9" s="128" t="str">
        <f>IF(D9=0,"OK","CHECK: "&amp;D9&amp;" rate(s) outside 0% to 100%")</f>
        <v>OK</v>
      </c>
      <c r="F9" s="127" t="s">
        <v>114</v>
      </c>
      <c r="G9" s="127" t="s">
        <v>119</v>
      </c>
    </row>
    <row r="10" spans="1:7" ht="28.8" x14ac:dyDescent="0.3">
      <c r="A10" s="127" t="s">
        <v>120</v>
      </c>
      <c r="B10" s="127" t="s">
        <v>121</v>
      </c>
      <c r="C10" s="127" t="s">
        <v>122</v>
      </c>
      <c r="D10" s="50">
        <f>(N('pay out values'!C27)&gt;0)*(ABS('pay out values'!D57-1)&gt;=0.00005)+(N('pay out values'!C28)&gt;0)*(ABS('pay out values'!D75-1)&gt;=0.00005)+(N('pay out values'!C29)&gt;0)*(ABS('pay out values'!D93-1)&gt;=0.00005)+(N('pay out values'!C30)&gt;0)*(ABS('pay out values'!D111-1)&gt;=0.00005)+(N('pay out values'!C31)&gt;0)*(ABS('pay out values'!D129-1)&gt;=0.00005)+(N('pay out values'!C32)&gt;0)*(ABS('pay out values'!D147-1)&gt;=0.00005)+(N('pay out values'!C33)&gt;0)*(ABS('pay out values'!D165-1)&gt;=0.00005)+(N('pay out values'!C34)&gt;0)*(ABS('pay out values'!D183-1)&gt;=0.00005)+(N('pay out values'!C35)&gt;0)*(ABS('pay out values'!D201-1)&gt;=0.00005)+(N('pay out values'!C36)&gt;0)*(ABS('pay out values'!D219-1)&gt;=0.00005)</f>
        <v>0</v>
      </c>
      <c r="E10" s="128" t="str">
        <f>IF(D10=0,"OK","CHECK: "&amp;D10&amp;" measure(s) with shares not equal to 100%")</f>
        <v>OK</v>
      </c>
      <c r="F10" s="127" t="s">
        <v>123</v>
      </c>
      <c r="G10" s="127" t="s">
        <v>124</v>
      </c>
    </row>
    <row r="11" spans="1:7" ht="28.8" x14ac:dyDescent="0.3">
      <c r="A11" s="127" t="s">
        <v>125</v>
      </c>
      <c r="B11" s="127" t="s">
        <v>126</v>
      </c>
      <c r="C11" s="127" t="s">
        <v>127</v>
      </c>
      <c r="D11" s="50">
        <f>SUMPRODUCT(('pay out values'!C44:C56&gt;0)*((('pay out values'!G44:G56&lt;2028)+('pay out values'!G44:G56&gt;2035))&gt;0))+SUMPRODUCT(('pay out values'!C62:C74&gt;0)*((('pay out values'!G62:G74&lt;2028)+('pay out values'!G62:G74&gt;2035))&gt;0))+SUMPRODUCT(('pay out values'!C80:C92&gt;0)*((('pay out values'!G80:G92&lt;2028)+('pay out values'!G80:G92&gt;2035))&gt;0))+SUMPRODUCT(('pay out values'!C98:C110&gt;0)*((('pay out values'!G98:G110&lt;2028)+('pay out values'!G98:G110&gt;2035))&gt;0))+SUMPRODUCT(('pay out values'!C116:C128&gt;0)*((('pay out values'!G116:G128&lt;2028)+('pay out values'!G116:G128&gt;2035))&gt;0))+SUMPRODUCT(('pay out values'!C134:C146&gt;0)*((('pay out values'!G134:G146&lt;2028)+('pay out values'!G134:G146&gt;2035))&gt;0))+SUMPRODUCT(('pay out values'!C152:C164&gt;0)*((('pay out values'!G152:G164&lt;2028)+('pay out values'!G152:G164&gt;2035))&gt;0))+SUMPRODUCT(('pay out values'!C170:C182&gt;0)*((('pay out values'!G170:G182&lt;2028)+('pay out values'!G170:G182&gt;2035))&gt;0))+SUMPRODUCT(('pay out values'!C188:C200&gt;0)*((('pay out values'!G188:G200&lt;2028)+('pay out values'!G188:G200&gt;2035))&gt;0))+SUMPRODUCT(('pay out values'!C206:C218&gt;0)*((('pay out values'!G206:G218&lt;2028)+('pay out values'!G206:G218&gt;2035))&gt;0))</f>
        <v>0</v>
      </c>
      <c r="E11" s="128" t="str">
        <f>IF(D11=0,"OK","CHECK: "&amp;D11&amp;" row(s) without a valid year")</f>
        <v>OK</v>
      </c>
      <c r="F11" s="127" t="s">
        <v>114</v>
      </c>
      <c r="G11" s="127" t="s">
        <v>128</v>
      </c>
    </row>
    <row r="12" spans="1:7" ht="28.8" x14ac:dyDescent="0.3">
      <c r="A12" s="127" t="s">
        <v>129</v>
      </c>
      <c r="B12" s="127" t="s">
        <v>130</v>
      </c>
      <c r="C12" s="127" t="s">
        <v>131</v>
      </c>
      <c r="D12" s="50">
        <f>'N+1 '!J13</f>
        <v>1</v>
      </c>
      <c r="E12" s="128" t="str">
        <f>IF(ABS(D12-1)&lt;0.00005,"OK","CHECK: commitments add up to "&amp;FIXED((D12)*100,1)&amp;"%")</f>
        <v>OK</v>
      </c>
      <c r="F12" s="127" t="s">
        <v>132</v>
      </c>
      <c r="G12" s="127" t="s">
        <v>133</v>
      </c>
    </row>
    <row r="13" spans="1:7" ht="28.8" x14ac:dyDescent="0.3">
      <c r="A13" s="127" t="s">
        <v>134</v>
      </c>
      <c r="B13" s="127" t="s">
        <v>135</v>
      </c>
      <c r="C13" s="127" t="s">
        <v>136</v>
      </c>
      <c r="D13" s="50">
        <f>'N+1 '!I13</f>
        <v>0</v>
      </c>
      <c r="E13" s="128" t="str">
        <f>IF(D13=0,"OK","CHECK: a 2035 commitment is not covered by the decommitment test")</f>
        <v>OK</v>
      </c>
      <c r="F13" s="127" t="s">
        <v>137</v>
      </c>
      <c r="G13" s="127" t="s">
        <v>138</v>
      </c>
    </row>
    <row r="14" spans="1:7" ht="28.8" x14ac:dyDescent="0.3">
      <c r="A14" s="127" t="s">
        <v>139</v>
      </c>
      <c r="B14" s="127" t="s">
        <v>140</v>
      </c>
      <c r="C14" s="127" t="s">
        <v>141</v>
      </c>
      <c r="D14" s="50">
        <f>'N+1 '!J15</f>
        <v>0.12</v>
      </c>
      <c r="E14" s="128" t="str">
        <f>IF(OR(ABS(D14-0.12)&lt;0.00005,ABS(D14-0.14)&lt;0.00005),"OK","INFO: "&amp;FIXED((D14)*100,1)&amp;"%"&amp;" differs from 12% (Council) and 14% (EP amendment 109)")</f>
        <v>OK</v>
      </c>
      <c r="F14" s="127" t="s">
        <v>142</v>
      </c>
      <c r="G14" s="127" t="s">
        <v>143</v>
      </c>
    </row>
    <row r="15" spans="1:7" ht="43.2" x14ac:dyDescent="0.3">
      <c r="A15" s="127" t="s">
        <v>144</v>
      </c>
      <c r="B15" s="127" t="s">
        <v>145</v>
      </c>
      <c r="C15" s="127" t="s">
        <v>146</v>
      </c>
      <c r="D15" s="50">
        <f>SUMPRODUCT((('pay out values'!H27:H36+'pay out values'!I27:I36)&gt;0)*ABS('pay out values'!H27:H36+'pay out values'!I27:I36-'pay out values'!G27:G36))</f>
        <v>0</v>
      </c>
      <c r="E15" s="128" t="str">
        <f>IF(D15&lt;=$B$4,"OK","INFO: public plus private contribution differs from the national contribution by EUR "&amp;FIXED(D15,0))</f>
        <v>OK</v>
      </c>
      <c r="F15" s="127" t="s">
        <v>147</v>
      </c>
      <c r="G15" s="127" t="s">
        <v>148</v>
      </c>
    </row>
    <row r="16" spans="1:7" ht="14.4" x14ac:dyDescent="0.3">
      <c r="A16" s="127" t="s">
        <v>149</v>
      </c>
      <c r="B16" s="127" t="s">
        <v>150</v>
      </c>
      <c r="C16" s="127" t="s">
        <v>151</v>
      </c>
      <c r="D16" s="50">
        <f>'pay out values'!J9-'pay out values'!D15</f>
        <v>0</v>
      </c>
      <c r="E16" s="128" t="str">
        <f>IF(ABS(D16)&lt;=$B$4,"OK","CHECK: difference EUR "&amp;FIXED(D16,0))</f>
        <v>OK</v>
      </c>
      <c r="F16" s="127" t="s">
        <v>152</v>
      </c>
      <c r="G16" s="127" t="s">
        <v>153</v>
      </c>
    </row>
    <row r="17" spans="1:7" ht="43.2" x14ac:dyDescent="0.3">
      <c r="A17" s="127" t="s">
        <v>154</v>
      </c>
      <c r="B17" s="127" t="s">
        <v>155</v>
      </c>
      <c r="C17" s="127" t="s">
        <v>156</v>
      </c>
      <c r="D17" s="50">
        <f>ABS('pay out values'!C57-'pay out values'!K52)+ABS('pay out values'!C75-'pay out values'!K70)+ABS('pay out values'!C93-'pay out values'!K88)+ABS('pay out values'!C111-'pay out values'!K106)+ABS('pay out values'!C129-'pay out values'!K124)+ABS('pay out values'!C147-'pay out values'!K142)+ABS('pay out values'!C165-'pay out values'!K160)+ABS('pay out values'!C183-'pay out values'!K178)+ABS('pay out values'!C201-'pay out values'!K196)+ABS('pay out values'!C219-'pay out values'!K214)</f>
        <v>0</v>
      </c>
      <c r="E17" s="128" t="str">
        <f>IF(D17&lt;=$B$4,"OK","CHECK: EUR "&amp;FIXED(D17,0)&amp;" of payout values are not in any year")</f>
        <v>OK</v>
      </c>
      <c r="F17" s="127" t="s">
        <v>114</v>
      </c>
      <c r="G17" s="127" t="s">
        <v>157</v>
      </c>
    </row>
    <row r="18" spans="1:7" ht="14.4" x14ac:dyDescent="0.3">
      <c r="A18" s="127" t="s">
        <v>158</v>
      </c>
      <c r="B18" s="127" t="s">
        <v>159</v>
      </c>
      <c r="C18" s="127" t="s">
        <v>160</v>
      </c>
      <c r="D18" s="50">
        <f>ABS(Inflows!K44-Inflows!J7)+ABS(Inflows!K45-Inflows!J5)+ABS(Inflows!K46-Inflows!J6)</f>
        <v>0</v>
      </c>
      <c r="E18" s="128" t="str">
        <f>IF(D18&lt;=$B$4,"OK","CHECK: inflows differ by EUR "&amp;FIXED(D18,0))</f>
        <v>OK</v>
      </c>
      <c r="F18" s="127" t="s">
        <v>114</v>
      </c>
      <c r="G18" s="127" t="s">
        <v>161</v>
      </c>
    </row>
    <row r="19" spans="1:7" ht="14.4" x14ac:dyDescent="0.3">
      <c r="A19" s="127" t="s">
        <v>162</v>
      </c>
      <c r="B19" s="127" t="s">
        <v>163</v>
      </c>
      <c r="C19" s="127" t="s">
        <v>164</v>
      </c>
      <c r="D19" s="50">
        <f>ABS('TA '!K6-'TA '!K9)</f>
        <v>0</v>
      </c>
      <c r="E19" s="128" t="str">
        <f>IF(D19&lt;=$B$4,"OK","CHECK: TA differs by EUR "&amp;FIXED(D19,0))</f>
        <v>OK</v>
      </c>
      <c r="F19" s="127" t="s">
        <v>114</v>
      </c>
      <c r="G19" s="127" t="s">
        <v>165</v>
      </c>
    </row>
    <row r="20" spans="1:7" ht="14.4" x14ac:dyDescent="0.3">
      <c r="A20" s="127" t="s">
        <v>166</v>
      </c>
      <c r="B20" s="127" t="s">
        <v>167</v>
      </c>
      <c r="C20" s="127" t="s">
        <v>168</v>
      </c>
      <c r="D20" s="50">
        <f>ABS(Inflows!K28-Inflows!B10)</f>
        <v>0</v>
      </c>
      <c r="E20" s="128" t="str">
        <f>IF(D20&lt;=$B$4,"OK","CHECK: pre-financing in the timeline differs from the total by EUR "&amp;FIXED(D20,0))</f>
        <v>OK</v>
      </c>
      <c r="F20" s="127" t="s">
        <v>114</v>
      </c>
      <c r="G20" s="127" t="s">
        <v>169</v>
      </c>
    </row>
    <row r="21" spans="1:7" ht="28.8" x14ac:dyDescent="0.3">
      <c r="A21" s="127" t="s">
        <v>170</v>
      </c>
      <c r="B21" s="127" t="s">
        <v>171</v>
      </c>
      <c r="C21" s="127" t="s">
        <v>172</v>
      </c>
      <c r="D21" s="50">
        <f>ABS('N+1 '!J17-'N+1 '!J7)</f>
        <v>0</v>
      </c>
      <c r="E21" s="128" t="str">
        <f>IF(D21&lt;=$B$4,"OK","CHECK: targets differ from the contribution by EUR "&amp;FIXED(D21,0))</f>
        <v>OK</v>
      </c>
      <c r="F21" s="127" t="s">
        <v>173</v>
      </c>
      <c r="G21" s="127" t="s">
        <v>174</v>
      </c>
    </row>
    <row r="22" spans="1:7" ht="43.2" x14ac:dyDescent="0.3">
      <c r="A22" s="127" t="s">
        <v>175</v>
      </c>
      <c r="B22" s="127" t="s">
        <v>176</v>
      </c>
      <c r="C22" s="127" t="s">
        <v>177</v>
      </c>
      <c r="D22" s="50">
        <f>ABS('Measure 1 project payments'!K45-'Measure 1 project payments'!B5)+ABS('Measure 1 project payments'!K34-'Measure 1 project payments'!B5)+ABS('Measure 2 project payments'!K45-'Measure 2 project payments'!B5)+ABS('Measure 2 project payments'!K34-'Measure 2 project payments'!B5)+ABS('Measure 3 project payments'!K45-'Measure 3 project payments'!B5)+ABS('Measure 3 project payments'!K34-'Measure 3 project payments'!B5)+ABS('Measure 4 project payments'!K45-'Measure 4 project payments'!B5)+ABS('Measure 4 project payments'!K34-'Measure 4 project payments'!B5)+ABS('Measure 5 project payments'!K45-'Measure 5 project payments'!B5)+ABS('Measure 5 project payments'!K34-'Measure 5 project payments'!B5)+ABS('Measure 6 project payments'!K45-'Measure 6 project payments'!B5)+ABS('Measure 6 project payments'!K34-'Measure 6 project payments'!B5)+ABS('Measure 7 project payments'!K45-'Measure 7 project payments'!B5)+ABS('Measure 7 project payments'!K34-'Measure 7 project payments'!B5)+ABS('Measure 8 project payments'!K45-'Measure 8 project payments'!B5)+ABS('Measure 8 project payments'!K34-'Measure 8 project payments'!B5)+ABS('Measure 9 project payments'!K45-'Measure 9 project payments'!B5)+ABS('Measure 9 project payments'!K34-'Measure 9 project payments'!B5)+ABS('Measure 10 project payments'!K45-'Measure 10 project payments'!B5)+ABS('Measure 10 project payments'!K34-'Measure 10 project payments'!B5)</f>
        <v>0</v>
      </c>
      <c r="E22" s="128" t="str">
        <f>IF(D22&lt;=$B$4,"OK","CHECK: difference EUR "&amp;FIXED(D22,0))</f>
        <v>OK</v>
      </c>
      <c r="F22" s="127" t="s">
        <v>114</v>
      </c>
      <c r="G22" s="127" t="s">
        <v>178</v>
      </c>
    </row>
    <row r="23" spans="1:7" ht="28.8" x14ac:dyDescent="0.3">
      <c r="A23" s="127" t="s">
        <v>179</v>
      </c>
      <c r="B23" s="127" t="s">
        <v>180</v>
      </c>
      <c r="C23" s="127" t="s">
        <v>181</v>
      </c>
      <c r="D23" s="50">
        <f>('Measure 1 project payments'!B5&gt;0)*(ABS('Measure 1 project payments'!K30-'Measure 1 project payments'!B5)&gt;$B$4)+('Measure 2 project payments'!B5&gt;0)*(ABS('Measure 2 project payments'!K30-'Measure 2 project payments'!B5)&gt;$B$4)+('Measure 3 project payments'!B5&gt;0)*(ABS('Measure 3 project payments'!K30-'Measure 3 project payments'!B5)&gt;$B$4)+('Measure 4 project payments'!B5&gt;0)*(ABS('Measure 4 project payments'!K30-'Measure 4 project payments'!B5)&gt;$B$4)+('Measure 5 project payments'!B5&gt;0)*(ABS('Measure 5 project payments'!K30-'Measure 5 project payments'!B5)&gt;$B$4)+('Measure 6 project payments'!B5&gt;0)*(ABS('Measure 6 project payments'!K30-'Measure 6 project payments'!B5)&gt;$B$4)+('Measure 7 project payments'!B5&gt;0)*(ABS('Measure 7 project payments'!K30-'Measure 7 project payments'!B5)&gt;$B$4)+('Measure 8 project payments'!B5&gt;0)*(ABS('Measure 8 project payments'!K30-'Measure 8 project payments'!B5)&gt;$B$4)+('Measure 9 project payments'!B5&gt;0)*(ABS('Measure 9 project payments'!K30-'Measure 9 project payments'!B5)&gt;$B$4)+('Measure 10 project payments'!B5&gt;0)*(ABS('Measure 10 project payments'!K30-'Measure 10 project payments'!B5)&gt;$B$4)</f>
        <v>0</v>
      </c>
      <c r="E23" s="128" t="str">
        <f>IF(D23=0,"OK","INFO: "&amp;D23&amp;" measure(s) where payments to projects differ from the EU contribution (not entered, or not complete)")</f>
        <v>OK</v>
      </c>
      <c r="F23" s="127" t="s">
        <v>182</v>
      </c>
      <c r="G23" s="127" t="s">
        <v>183</v>
      </c>
    </row>
    <row r="24" spans="1:7" x14ac:dyDescent="0.3">
      <c r="A24" s="127" t="s">
        <v>184</v>
      </c>
      <c r="B24" s="127" t="s">
        <v>185</v>
      </c>
      <c r="C24" s="127" t="s">
        <v>186</v>
      </c>
      <c r="D24" s="50">
        <f>'pay out values'!F37</f>
        <v>0</v>
      </c>
      <c r="E24" s="128" t="str">
        <f>IF(N('pay out values'!D16)=0,"CHECK: select the ceiling in D16 on pay out values",IF(ROUND(D24,6)&lt;=ROUND('pay out values'!D16,6),"OK","CHECK: weighted rate "&amp;FIXED((D24)*100,2)&amp;"%"&amp;" above "&amp;TEXT('pay out values'!D16,"0%")))</f>
        <v>OK</v>
      </c>
      <c r="F24" s="127" t="s">
        <v>187</v>
      </c>
      <c r="G24" s="127" t="s">
        <v>188</v>
      </c>
    </row>
    <row r="25" spans="1:7" ht="30.05" x14ac:dyDescent="0.3">
      <c r="A25" s="127" t="s">
        <v>189</v>
      </c>
      <c r="B25" s="127" t="s">
        <v>190</v>
      </c>
      <c r="C25" s="127" t="s">
        <v>191</v>
      </c>
      <c r="D25" s="50">
        <f>COUNTIF('pay out values'!F27:F36,"&gt;"&amp;'pay out values'!D16)</f>
        <v>0</v>
      </c>
      <c r="E25" s="128" t="str">
        <f>IF(D25=0,"OK","INFO: "&amp;D25&amp;" measure(s) above the ceiling")</f>
        <v>OK</v>
      </c>
      <c r="F25" s="127" t="s">
        <v>192</v>
      </c>
      <c r="G25" s="127" t="s">
        <v>119</v>
      </c>
    </row>
    <row r="26" spans="1:7" ht="30.05" x14ac:dyDescent="0.3">
      <c r="A26" s="127" t="s">
        <v>193</v>
      </c>
      <c r="B26" s="127" t="s">
        <v>194</v>
      </c>
      <c r="C26" s="127" t="s">
        <v>195</v>
      </c>
      <c r="D26" s="50">
        <f>MAX(Inflows!B54:I54)-Inflows!B22</f>
        <v>0</v>
      </c>
      <c r="E26" s="128" t="str">
        <f>IF(D26&lt;=$B$4,"OK","CHECK: ceiling exceeded by EUR "&amp;FIXED(D26,0))</f>
        <v>OK</v>
      </c>
      <c r="F26" s="127" t="s">
        <v>196</v>
      </c>
      <c r="G26" s="127" t="s">
        <v>197</v>
      </c>
    </row>
    <row r="27" spans="1:7" ht="45.1" x14ac:dyDescent="0.3">
      <c r="A27" s="127" t="s">
        <v>198</v>
      </c>
      <c r="B27" s="127" t="s">
        <v>199</v>
      </c>
      <c r="C27" s="127" t="s">
        <v>200</v>
      </c>
      <c r="D27" s="50">
        <f>MIN(Inflows!B37:J37)</f>
        <v>0</v>
      </c>
      <c r="E27" s="128" t="str">
        <f>IF(D27&gt;=-$B$4,"OK","INFO: interim payment of EUR "&amp;FIXED(D27,0)&amp;" in one year (pre-financing netted against the ceiling)")</f>
        <v>OK</v>
      </c>
      <c r="F27" s="127" t="s">
        <v>201</v>
      </c>
      <c r="G27" s="127" t="s">
        <v>202</v>
      </c>
    </row>
    <row r="28" spans="1:7" ht="30.05" x14ac:dyDescent="0.3">
      <c r="A28" s="127" t="s">
        <v>203</v>
      </c>
      <c r="B28" s="127" t="s">
        <v>204</v>
      </c>
      <c r="C28" s="127" t="s">
        <v>205</v>
      </c>
      <c r="D28" s="50">
        <f>COUNTIF('N+1 '!B32:I32,"RISK")</f>
        <v>0</v>
      </c>
      <c r="E28" s="128" t="str">
        <f>IF(D28=0,"OK","CHECK: "&amp;D28&amp;" year(s) at risk")</f>
        <v>OK</v>
      </c>
      <c r="F28" s="127" t="s">
        <v>206</v>
      </c>
      <c r="G28" s="127" t="s">
        <v>207</v>
      </c>
    </row>
    <row r="29" spans="1:7" ht="30.05" x14ac:dyDescent="0.3">
      <c r="A29" s="127" t="s">
        <v>208</v>
      </c>
      <c r="B29" s="127" t="s">
        <v>209</v>
      </c>
      <c r="C29" s="127" t="s">
        <v>210</v>
      </c>
      <c r="D29" s="50">
        <f>SUM(D33:D47)</f>
        <v>0</v>
      </c>
      <c r="E29" s="128" t="str">
        <f>IF(D29=0,"OK","CHECK: "&amp;D29&amp;" cell(s) show an error. See the error locator below")</f>
        <v>OK</v>
      </c>
      <c r="F29" s="127" t="s">
        <v>114</v>
      </c>
      <c r="G29" s="127" t="s">
        <v>211</v>
      </c>
    </row>
    <row r="31" spans="1:7" ht="21.95" customHeight="1" x14ac:dyDescent="0.3">
      <c r="A31" s="145" t="s">
        <v>212</v>
      </c>
      <c r="B31" s="145"/>
      <c r="C31" s="145"/>
      <c r="D31" s="145"/>
      <c r="E31" s="145"/>
      <c r="F31" s="145"/>
      <c r="G31" s="145"/>
    </row>
    <row r="32" spans="1:7" ht="30.05" customHeight="1" x14ac:dyDescent="0.3">
      <c r="A32" s="124" t="s">
        <v>213</v>
      </c>
      <c r="B32" s="124" t="s">
        <v>214</v>
      </c>
      <c r="C32" s="124" t="s">
        <v>215</v>
      </c>
      <c r="D32" s="124" t="s">
        <v>216</v>
      </c>
      <c r="E32" s="124" t="s">
        <v>217</v>
      </c>
      <c r="F32" s="124" t="s">
        <v>218</v>
      </c>
    </row>
    <row r="33" spans="1:6" x14ac:dyDescent="0.3">
      <c r="A33" s="127" t="s">
        <v>219</v>
      </c>
      <c r="B33" s="127" t="s">
        <v>36</v>
      </c>
      <c r="C33" s="127" t="s">
        <v>220</v>
      </c>
      <c r="D33" s="50">
        <f>SUMPRODUCT(--ISERROR('pay out values'!A4:X219))</f>
        <v>0</v>
      </c>
      <c r="E33" s="128" t="str">
        <f>IF(D33=0,"none",ADDRESS(_xlfn.AGGREGATE(15,6,ROW('pay out values'!A4:X219)/ISERROR('pay out values'!A4:X219),1),_xlfn.AGGREGATE(15,6,COLUMN('pay out values'!A4:X219)/((ROW('pay out values'!A4:X219)=_xlfn.AGGREGATE(15,6,ROW('pay out values'!A4:X219)/ISERROR('pay out values'!A4:X219),1))*ISERROR('pay out values'!A4:X219)),1),4))</f>
        <v>none</v>
      </c>
      <c r="F33" s="127" t="str">
        <f t="shared" ref="F33:F47" si="0">IF(D33=0,"","Open the sheet, go to the first cell (error cells are red), correct the input or restore the formula")</f>
        <v/>
      </c>
    </row>
    <row r="34" spans="1:6" x14ac:dyDescent="0.3">
      <c r="A34" s="127" t="s">
        <v>221</v>
      </c>
      <c r="B34" s="127" t="s">
        <v>222</v>
      </c>
      <c r="C34" s="127" t="s">
        <v>223</v>
      </c>
      <c r="D34" s="50">
        <f>SUMPRODUCT(--ISERROR('N+1 '!A1:X68))</f>
        <v>0</v>
      </c>
      <c r="E34" s="128" t="str">
        <f>IF(D34=0,"none",ADDRESS(_xlfn.AGGREGATE(15,6,ROW('N+1 '!A1:X68)/ISERROR('N+1 '!A1:X68),1),_xlfn.AGGREGATE(15,6,COLUMN('N+1 '!A1:X68)/((ROW('N+1 '!A1:X68)=_xlfn.AGGREGATE(15,6,ROW('N+1 '!A1:X68)/ISERROR('N+1 '!A1:X68),1))*ISERROR('N+1 '!A1:X68)),1),4))</f>
        <v>none</v>
      </c>
      <c r="F34" s="127" t="str">
        <f t="shared" si="0"/>
        <v/>
      </c>
    </row>
    <row r="35" spans="1:6" x14ac:dyDescent="0.3">
      <c r="A35" s="127" t="s">
        <v>224</v>
      </c>
      <c r="B35" s="127" t="s">
        <v>40</v>
      </c>
      <c r="C35" s="127" t="s">
        <v>225</v>
      </c>
      <c r="D35" s="50">
        <f>SUMPRODUCT(--ISERROR(Inflows!A1:N60))</f>
        <v>0</v>
      </c>
      <c r="E35" s="128" t="str">
        <f>IF(D35=0,"none",ADDRESS(_xlfn.AGGREGATE(15,6,ROW(Inflows!A1:N60)/ISERROR(Inflows!A1:N60),1),_xlfn.AGGREGATE(15,6,COLUMN(Inflows!A1:N60)/((ROW(Inflows!A1:N60)=_xlfn.AGGREGATE(15,6,ROW(Inflows!A1:N60)/ISERROR(Inflows!A1:N60),1))*ISERROR(Inflows!A1:N60)),1),4))</f>
        <v>none</v>
      </c>
      <c r="F35" s="127" t="str">
        <f t="shared" si="0"/>
        <v/>
      </c>
    </row>
    <row r="36" spans="1:6" x14ac:dyDescent="0.3">
      <c r="A36" s="127" t="s">
        <v>226</v>
      </c>
      <c r="B36" s="127" t="s">
        <v>227</v>
      </c>
      <c r="C36" s="127" t="s">
        <v>228</v>
      </c>
      <c r="D36" s="50">
        <f>SUMPRODUCT(--ISERROR('TA '!A1:K11))</f>
        <v>0</v>
      </c>
      <c r="E36" s="128" t="str">
        <f>IF(D36=0,"none",ADDRESS(_xlfn.AGGREGATE(15,6,ROW('TA '!A1:K11)/ISERROR('TA '!A1:K11),1),_xlfn.AGGREGATE(15,6,COLUMN('TA '!A1:K11)/((ROW('TA '!A1:K11)=_xlfn.AGGREGATE(15,6,ROW('TA '!A1:K11)/ISERROR('TA '!A1:K11),1))*ISERROR('TA '!A1:K11)),1),4))</f>
        <v>none</v>
      </c>
      <c r="F36" s="127" t="str">
        <f t="shared" si="0"/>
        <v/>
      </c>
    </row>
    <row r="37" spans="1:6" x14ac:dyDescent="0.3">
      <c r="A37" s="127" t="s">
        <v>229</v>
      </c>
      <c r="B37" s="127" t="s">
        <v>46</v>
      </c>
      <c r="C37" s="127" t="s">
        <v>230</v>
      </c>
      <c r="D37" s="50">
        <f>SUMPRODUCT(--ISERROR('Summary project payments'!A1:K54))</f>
        <v>0</v>
      </c>
      <c r="E37" s="128" t="str">
        <f>IF(D37=0,"none",ADDRESS(_xlfn.AGGREGATE(15,6,ROW('Summary project payments'!A1:K54)/ISERROR('Summary project payments'!A1:K54),1),_xlfn.AGGREGATE(15,6,COLUMN('Summary project payments'!A1:K54)/((ROW('Summary project payments'!A1:K54)=_xlfn.AGGREGATE(15,6,ROW('Summary project payments'!A1:K54)/ISERROR('Summary project payments'!A1:K54),1))*ISERROR('Summary project payments'!A1:K54)),1),4))</f>
        <v>none</v>
      </c>
      <c r="F37" s="127" t="str">
        <f t="shared" si="0"/>
        <v/>
      </c>
    </row>
    <row r="38" spans="1:6" x14ac:dyDescent="0.3">
      <c r="A38" s="127" t="s">
        <v>231</v>
      </c>
      <c r="B38" s="127" t="s">
        <v>232</v>
      </c>
      <c r="C38" s="127" t="s">
        <v>233</v>
      </c>
      <c r="D38" s="50">
        <f>SUMPRODUCT(--ISERROR('Measure 1 project payments'!A1:Y67))</f>
        <v>0</v>
      </c>
      <c r="E38" s="128" t="str">
        <f>IF(D38=0,"none",ADDRESS(_xlfn.AGGREGATE(15,6,ROW('Measure 1 project payments'!A1:Y67)/ISERROR('Measure 1 project payments'!A1:Y67),1),_xlfn.AGGREGATE(15,6,COLUMN('Measure 1 project payments'!A1:Y67)/((ROW('Measure 1 project payments'!A1:Y67)=_xlfn.AGGREGATE(15,6,ROW('Measure 1 project payments'!A1:Y67)/ISERROR('Measure 1 project payments'!A1:Y67),1))*ISERROR('Measure 1 project payments'!A1:Y67)),1),4))</f>
        <v>none</v>
      </c>
      <c r="F38" s="127" t="str">
        <f t="shared" si="0"/>
        <v/>
      </c>
    </row>
    <row r="39" spans="1:6" x14ac:dyDescent="0.3">
      <c r="A39" s="127" t="s">
        <v>234</v>
      </c>
      <c r="B39" s="127" t="s">
        <v>235</v>
      </c>
      <c r="C39" s="127" t="s">
        <v>233</v>
      </c>
      <c r="D39" s="50">
        <f>SUMPRODUCT(--ISERROR('Measure 2 project payments'!A1:Y67))</f>
        <v>0</v>
      </c>
      <c r="E39" s="128" t="str">
        <f>IF(D39=0,"none",ADDRESS(_xlfn.AGGREGATE(15,6,ROW('Measure 2 project payments'!A1:Y67)/ISERROR('Measure 2 project payments'!A1:Y67),1),_xlfn.AGGREGATE(15,6,COLUMN('Measure 2 project payments'!A1:Y67)/((ROW('Measure 2 project payments'!A1:Y67)=_xlfn.AGGREGATE(15,6,ROW('Measure 2 project payments'!A1:Y67)/ISERROR('Measure 2 project payments'!A1:Y67),1))*ISERROR('Measure 2 project payments'!A1:Y67)),1),4))</f>
        <v>none</v>
      </c>
      <c r="F39" s="127" t="str">
        <f t="shared" si="0"/>
        <v/>
      </c>
    </row>
    <row r="40" spans="1:6" x14ac:dyDescent="0.3">
      <c r="A40" s="127" t="s">
        <v>236</v>
      </c>
      <c r="B40" s="127" t="s">
        <v>237</v>
      </c>
      <c r="C40" s="127" t="s">
        <v>233</v>
      </c>
      <c r="D40" s="50">
        <f>SUMPRODUCT(--ISERROR('Measure 3 project payments'!A1:Y67))</f>
        <v>0</v>
      </c>
      <c r="E40" s="128" t="str">
        <f>IF(D40=0,"none",ADDRESS(_xlfn.AGGREGATE(15,6,ROW('Measure 3 project payments'!A1:Y67)/ISERROR('Measure 3 project payments'!A1:Y67),1),_xlfn.AGGREGATE(15,6,COLUMN('Measure 3 project payments'!A1:Y67)/((ROW('Measure 3 project payments'!A1:Y67)=_xlfn.AGGREGATE(15,6,ROW('Measure 3 project payments'!A1:Y67)/ISERROR('Measure 3 project payments'!A1:Y67),1))*ISERROR('Measure 3 project payments'!A1:Y67)),1),4))</f>
        <v>none</v>
      </c>
      <c r="F40" s="127" t="str">
        <f t="shared" si="0"/>
        <v/>
      </c>
    </row>
    <row r="41" spans="1:6" x14ac:dyDescent="0.3">
      <c r="A41" s="127" t="s">
        <v>238</v>
      </c>
      <c r="B41" s="127" t="s">
        <v>239</v>
      </c>
      <c r="C41" s="127" t="s">
        <v>233</v>
      </c>
      <c r="D41" s="50">
        <f>SUMPRODUCT(--ISERROR('Measure 4 project payments'!A1:Y67))</f>
        <v>0</v>
      </c>
      <c r="E41" s="128" t="str">
        <f>IF(D41=0,"none",ADDRESS(_xlfn.AGGREGATE(15,6,ROW('Measure 4 project payments'!A1:Y67)/ISERROR('Measure 4 project payments'!A1:Y67),1),_xlfn.AGGREGATE(15,6,COLUMN('Measure 4 project payments'!A1:Y67)/((ROW('Measure 4 project payments'!A1:Y67)=_xlfn.AGGREGATE(15,6,ROW('Measure 4 project payments'!A1:Y67)/ISERROR('Measure 4 project payments'!A1:Y67),1))*ISERROR('Measure 4 project payments'!A1:Y67)),1),4))</f>
        <v>none</v>
      </c>
      <c r="F41" s="127" t="str">
        <f t="shared" si="0"/>
        <v/>
      </c>
    </row>
    <row r="42" spans="1:6" x14ac:dyDescent="0.3">
      <c r="A42" s="127" t="s">
        <v>240</v>
      </c>
      <c r="B42" s="127" t="s">
        <v>241</v>
      </c>
      <c r="C42" s="127" t="s">
        <v>233</v>
      </c>
      <c r="D42" s="50">
        <f>SUMPRODUCT(--ISERROR('Measure 5 project payments'!A1:Y67))</f>
        <v>0</v>
      </c>
      <c r="E42" s="128" t="str">
        <f>IF(D42=0,"none",ADDRESS(_xlfn.AGGREGATE(15,6,ROW('Measure 5 project payments'!A1:Y67)/ISERROR('Measure 5 project payments'!A1:Y67),1),_xlfn.AGGREGATE(15,6,COLUMN('Measure 5 project payments'!A1:Y67)/((ROW('Measure 5 project payments'!A1:Y67)=_xlfn.AGGREGATE(15,6,ROW('Measure 5 project payments'!A1:Y67)/ISERROR('Measure 5 project payments'!A1:Y67),1))*ISERROR('Measure 5 project payments'!A1:Y67)),1),4))</f>
        <v>none</v>
      </c>
      <c r="F42" s="127" t="str">
        <f t="shared" si="0"/>
        <v/>
      </c>
    </row>
    <row r="43" spans="1:6" x14ac:dyDescent="0.3">
      <c r="A43" s="127" t="s">
        <v>242</v>
      </c>
      <c r="B43" s="127" t="s">
        <v>243</v>
      </c>
      <c r="C43" s="127" t="s">
        <v>233</v>
      </c>
      <c r="D43" s="50">
        <f>SUMPRODUCT(--ISERROR('Measure 6 project payments'!A1:Y67))</f>
        <v>0</v>
      </c>
      <c r="E43" s="128" t="str">
        <f>IF(D43=0,"none",ADDRESS(_xlfn.AGGREGATE(15,6,ROW('Measure 6 project payments'!A1:Y67)/ISERROR('Measure 6 project payments'!A1:Y67),1),_xlfn.AGGREGATE(15,6,COLUMN('Measure 6 project payments'!A1:Y67)/((ROW('Measure 6 project payments'!A1:Y67)=_xlfn.AGGREGATE(15,6,ROW('Measure 6 project payments'!A1:Y67)/ISERROR('Measure 6 project payments'!A1:Y67),1))*ISERROR('Measure 6 project payments'!A1:Y67)),1),4))</f>
        <v>none</v>
      </c>
      <c r="F43" s="127" t="str">
        <f t="shared" si="0"/>
        <v/>
      </c>
    </row>
    <row r="44" spans="1:6" x14ac:dyDescent="0.3">
      <c r="A44" s="127" t="s">
        <v>244</v>
      </c>
      <c r="B44" s="127" t="s">
        <v>245</v>
      </c>
      <c r="C44" s="127" t="s">
        <v>233</v>
      </c>
      <c r="D44" s="50">
        <f>SUMPRODUCT(--ISERROR('Measure 7 project payments'!A1:Y67))</f>
        <v>0</v>
      </c>
      <c r="E44" s="128" t="str">
        <f>IF(D44=0,"none",ADDRESS(_xlfn.AGGREGATE(15,6,ROW('Measure 7 project payments'!A1:Y67)/ISERROR('Measure 7 project payments'!A1:Y67),1),_xlfn.AGGREGATE(15,6,COLUMN('Measure 7 project payments'!A1:Y67)/((ROW('Measure 7 project payments'!A1:Y67)=_xlfn.AGGREGATE(15,6,ROW('Measure 7 project payments'!A1:Y67)/ISERROR('Measure 7 project payments'!A1:Y67),1))*ISERROR('Measure 7 project payments'!A1:Y67)),1),4))</f>
        <v>none</v>
      </c>
      <c r="F44" s="127" t="str">
        <f t="shared" si="0"/>
        <v/>
      </c>
    </row>
    <row r="45" spans="1:6" x14ac:dyDescent="0.3">
      <c r="A45" s="127" t="s">
        <v>246</v>
      </c>
      <c r="B45" s="127" t="s">
        <v>247</v>
      </c>
      <c r="C45" s="127" t="s">
        <v>233</v>
      </c>
      <c r="D45" s="50">
        <f>SUMPRODUCT(--ISERROR('Measure 8 project payments'!A1:Y67))</f>
        <v>0</v>
      </c>
      <c r="E45" s="128" t="str">
        <f>IF(D45=0,"none",ADDRESS(_xlfn.AGGREGATE(15,6,ROW('Measure 8 project payments'!A1:Y67)/ISERROR('Measure 8 project payments'!A1:Y67),1),_xlfn.AGGREGATE(15,6,COLUMN('Measure 8 project payments'!A1:Y67)/((ROW('Measure 8 project payments'!A1:Y67)=_xlfn.AGGREGATE(15,6,ROW('Measure 8 project payments'!A1:Y67)/ISERROR('Measure 8 project payments'!A1:Y67),1))*ISERROR('Measure 8 project payments'!A1:Y67)),1),4))</f>
        <v>none</v>
      </c>
      <c r="F45" s="127" t="str">
        <f t="shared" si="0"/>
        <v/>
      </c>
    </row>
    <row r="46" spans="1:6" x14ac:dyDescent="0.3">
      <c r="A46" s="127" t="s">
        <v>248</v>
      </c>
      <c r="B46" s="127" t="s">
        <v>249</v>
      </c>
      <c r="C46" s="127" t="s">
        <v>233</v>
      </c>
      <c r="D46" s="50">
        <f>SUMPRODUCT(--ISERROR('Measure 9 project payments'!A1:Y67))</f>
        <v>0</v>
      </c>
      <c r="E46" s="128" t="str">
        <f>IF(D46=0,"none",ADDRESS(_xlfn.AGGREGATE(15,6,ROW('Measure 9 project payments'!A1:Y67)/ISERROR('Measure 9 project payments'!A1:Y67),1),_xlfn.AGGREGATE(15,6,COLUMN('Measure 9 project payments'!A1:Y67)/((ROW('Measure 9 project payments'!A1:Y67)=_xlfn.AGGREGATE(15,6,ROW('Measure 9 project payments'!A1:Y67)/ISERROR('Measure 9 project payments'!A1:Y67),1))*ISERROR('Measure 9 project payments'!A1:Y67)),1),4))</f>
        <v>none</v>
      </c>
      <c r="F46" s="127" t="str">
        <f t="shared" si="0"/>
        <v/>
      </c>
    </row>
    <row r="47" spans="1:6" x14ac:dyDescent="0.3">
      <c r="A47" s="127" t="s">
        <v>250</v>
      </c>
      <c r="B47" s="127" t="s">
        <v>251</v>
      </c>
      <c r="C47" s="127" t="s">
        <v>233</v>
      </c>
      <c r="D47" s="50">
        <f>SUMPRODUCT(--ISERROR('Measure 10 project payments'!A1:Y67))</f>
        <v>0</v>
      </c>
      <c r="E47" s="128" t="str">
        <f>IF(D47=0,"none",ADDRESS(_xlfn.AGGREGATE(15,6,ROW('Measure 10 project payments'!A1:Y67)/ISERROR('Measure 10 project payments'!A1:Y67),1),_xlfn.AGGREGATE(15,6,COLUMN('Measure 10 project payments'!A1:Y67)/((ROW('Measure 10 project payments'!A1:Y67)=_xlfn.AGGREGATE(15,6,ROW('Measure 10 project payments'!A1:Y67)/ISERROR('Measure 10 project payments'!A1:Y67),1))*ISERROR('Measure 10 project payments'!A1:Y67)),1),4))</f>
        <v>none</v>
      </c>
      <c r="F47" s="127" t="str">
        <f t="shared" si="0"/>
        <v/>
      </c>
    </row>
    <row r="49" spans="1:7" ht="21.95" customHeight="1" x14ac:dyDescent="0.3">
      <c r="A49" s="145" t="s">
        <v>252</v>
      </c>
      <c r="B49" s="145"/>
      <c r="C49" s="145"/>
      <c r="D49" s="145"/>
      <c r="E49" s="145"/>
      <c r="F49" s="145"/>
      <c r="G49" s="145"/>
    </row>
    <row r="50" spans="1:7" ht="30.05" customHeight="1" x14ac:dyDescent="0.3">
      <c r="A50" s="124" t="s">
        <v>253</v>
      </c>
      <c r="B50" s="124" t="s">
        <v>254</v>
      </c>
      <c r="C50" s="124" t="s">
        <v>255</v>
      </c>
      <c r="D50" s="124" t="s">
        <v>256</v>
      </c>
      <c r="E50" s="124" t="s">
        <v>257</v>
      </c>
      <c r="F50" s="124" t="s">
        <v>258</v>
      </c>
      <c r="G50" s="124" t="s">
        <v>105</v>
      </c>
    </row>
    <row r="51" spans="1:7" x14ac:dyDescent="0.3">
      <c r="A51" s="127" t="s">
        <v>259</v>
      </c>
      <c r="B51" s="127" t="str">
        <f>IF('pay out values'!B27="","",'pay out values'!B27)</f>
        <v>Measure 1</v>
      </c>
      <c r="C51" s="127" t="str">
        <f>IF(N('pay out values'!C27)=0,"not used",IF(ABS('pay out values'!D57-1)&gt;=0.00005,"CHECK: shares add up to "&amp;FIXED(('pay out values'!D57)*100,1)&amp;"%","OK"))</f>
        <v>not used</v>
      </c>
      <c r="D51" s="50">
        <f>IF(N('pay out values'!C27)=0,0,ABS('pay out values'!C57-'pay out values'!K52))</f>
        <v>0</v>
      </c>
      <c r="E51" s="127" t="str">
        <f>IF(N('pay out values'!C27)=0,"not used",IF(ABS('Measure 1 project payments'!K45-'Measure 1 project payments'!B5)+ABS('Measure 1 project payments'!K34-'Measure 1 project payments'!B5)&lt;=$B$4,"OK","CHECK: difference EUR "&amp;FIXED(ABS('Measure 1 project payments'!K45-'Measure 1 project payments'!B5)+ABS('Measure 1 project payments'!K34-'Measure 1 project payments'!B5),0)))</f>
        <v>not used</v>
      </c>
      <c r="F51" s="127" t="str">
        <f>IF(N('pay out values'!C27)=0,"not used","EUR "&amp;FIXED('Measure 1 project payments'!K30,0)&amp;" of EUR "&amp;FIXED('Measure 1 project payments'!B5,0))</f>
        <v>not used</v>
      </c>
      <c r="G51" s="127" t="s">
        <v>260</v>
      </c>
    </row>
    <row r="52" spans="1:7" x14ac:dyDescent="0.3">
      <c r="A52" s="127" t="s">
        <v>261</v>
      </c>
      <c r="B52" s="127" t="str">
        <f>IF('pay out values'!B28="","",'pay out values'!B28)</f>
        <v>Measure 2</v>
      </c>
      <c r="C52" s="127" t="str">
        <f>IF(N('pay out values'!C28)=0,"not used",IF(ABS('pay out values'!D75-1)&gt;=0.00005,"CHECK: shares add up to "&amp;FIXED(('pay out values'!D75)*100,1)&amp;"%","OK"))</f>
        <v>not used</v>
      </c>
      <c r="D52" s="50">
        <f>IF(N('pay out values'!C28)=0,0,ABS('pay out values'!C75-'pay out values'!K70))</f>
        <v>0</v>
      </c>
      <c r="E52" s="127" t="str">
        <f>IF(N('pay out values'!C28)=0,"not used",IF(ABS('Measure 2 project payments'!K45-'Measure 2 project payments'!B5)+ABS('Measure 2 project payments'!K34-'Measure 2 project payments'!B5)&lt;=$B$4,"OK","CHECK: difference EUR "&amp;FIXED(ABS('Measure 2 project payments'!K45-'Measure 2 project payments'!B5)+ABS('Measure 2 project payments'!K34-'Measure 2 project payments'!B5),0)))</f>
        <v>not used</v>
      </c>
      <c r="F52" s="127" t="str">
        <f>IF(N('pay out values'!C28)=0,"not used","EUR "&amp;FIXED('Measure 2 project payments'!K30,0)&amp;" of EUR "&amp;FIXED('Measure 2 project payments'!B5,0))</f>
        <v>not used</v>
      </c>
      <c r="G52" s="127" t="s">
        <v>262</v>
      </c>
    </row>
    <row r="53" spans="1:7" x14ac:dyDescent="0.3">
      <c r="A53" s="127" t="s">
        <v>263</v>
      </c>
      <c r="B53" s="127" t="str">
        <f>IF('pay out values'!B29="","",'pay out values'!B29)</f>
        <v>Measure 3</v>
      </c>
      <c r="C53" s="127" t="str">
        <f>IF(N('pay out values'!C29)=0,"not used",IF(ABS('pay out values'!D93-1)&gt;=0.00005,"CHECK: shares add up to "&amp;FIXED(('pay out values'!D93)*100,1)&amp;"%","OK"))</f>
        <v>not used</v>
      </c>
      <c r="D53" s="50">
        <f>IF(N('pay out values'!C29)=0,0,ABS('pay out values'!C93-'pay out values'!K88))</f>
        <v>0</v>
      </c>
      <c r="E53" s="127" t="str">
        <f>IF(N('pay out values'!C29)=0,"not used",IF(ABS('Measure 3 project payments'!K45-'Measure 3 project payments'!B5)+ABS('Measure 3 project payments'!K34-'Measure 3 project payments'!B5)&lt;=$B$4,"OK","CHECK: difference EUR "&amp;FIXED(ABS('Measure 3 project payments'!K45-'Measure 3 project payments'!B5)+ABS('Measure 3 project payments'!K34-'Measure 3 project payments'!B5),0)))</f>
        <v>not used</v>
      </c>
      <c r="F53" s="127" t="str">
        <f>IF(N('pay out values'!C29)=0,"not used","EUR "&amp;FIXED('Measure 3 project payments'!K30,0)&amp;" of EUR "&amp;FIXED('Measure 3 project payments'!B5,0))</f>
        <v>not used</v>
      </c>
      <c r="G53" s="127" t="s">
        <v>264</v>
      </c>
    </row>
    <row r="54" spans="1:7" x14ac:dyDescent="0.3">
      <c r="A54" s="127" t="s">
        <v>265</v>
      </c>
      <c r="B54" s="127" t="str">
        <f>IF('pay out values'!B30="","",'pay out values'!B30)</f>
        <v>Measure 4</v>
      </c>
      <c r="C54" s="127" t="str">
        <f>IF(N('pay out values'!C30)=0,"not used",IF(ABS('pay out values'!D111-1)&gt;=0.00005,"CHECK: shares add up to "&amp;FIXED(('pay out values'!D111)*100,1)&amp;"%","OK"))</f>
        <v>not used</v>
      </c>
      <c r="D54" s="50">
        <f>IF(N('pay out values'!C30)=0,0,ABS('pay out values'!C111-'pay out values'!K106))</f>
        <v>0</v>
      </c>
      <c r="E54" s="127" t="str">
        <f>IF(N('pay out values'!C30)=0,"not used",IF(ABS('Measure 4 project payments'!K45-'Measure 4 project payments'!B5)+ABS('Measure 4 project payments'!K34-'Measure 4 project payments'!B5)&lt;=$B$4,"OK","CHECK: difference EUR "&amp;FIXED(ABS('Measure 4 project payments'!K45-'Measure 4 project payments'!B5)+ABS('Measure 4 project payments'!K34-'Measure 4 project payments'!B5),0)))</f>
        <v>not used</v>
      </c>
      <c r="F54" s="127" t="str">
        <f>IF(N('pay out values'!C30)=0,"not used","EUR "&amp;FIXED('Measure 4 project payments'!K30,0)&amp;" of EUR "&amp;FIXED('Measure 4 project payments'!B5,0))</f>
        <v>not used</v>
      </c>
      <c r="G54" s="127" t="s">
        <v>266</v>
      </c>
    </row>
    <row r="55" spans="1:7" x14ac:dyDescent="0.3">
      <c r="A55" s="127" t="s">
        <v>267</v>
      </c>
      <c r="B55" s="127" t="str">
        <f>IF('pay out values'!B31="","",'pay out values'!B31)</f>
        <v>Measure 5</v>
      </c>
      <c r="C55" s="127" t="str">
        <f>IF(N('pay out values'!C31)=0,"not used",IF(ABS('pay out values'!D129-1)&gt;=0.00005,"CHECK: shares add up to "&amp;FIXED(('pay out values'!D129)*100,1)&amp;"%","OK"))</f>
        <v>not used</v>
      </c>
      <c r="D55" s="50">
        <f>IF(N('pay out values'!C31)=0,0,ABS('pay out values'!C129-'pay out values'!K124))</f>
        <v>0</v>
      </c>
      <c r="E55" s="127" t="str">
        <f>IF(N('pay out values'!C31)=0,"not used",IF(ABS('Measure 5 project payments'!K45-'Measure 5 project payments'!B5)+ABS('Measure 5 project payments'!K34-'Measure 5 project payments'!B5)&lt;=$B$4,"OK","CHECK: difference EUR "&amp;FIXED(ABS('Measure 5 project payments'!K45-'Measure 5 project payments'!B5)+ABS('Measure 5 project payments'!K34-'Measure 5 project payments'!B5),0)))</f>
        <v>not used</v>
      </c>
      <c r="F55" s="127" t="str">
        <f>IF(N('pay out values'!C31)=0,"not used","EUR "&amp;FIXED('Measure 5 project payments'!K30,0)&amp;" of EUR "&amp;FIXED('Measure 5 project payments'!B5,0))</f>
        <v>not used</v>
      </c>
      <c r="G55" s="127" t="s">
        <v>268</v>
      </c>
    </row>
    <row r="56" spans="1:7" x14ac:dyDescent="0.3">
      <c r="A56" s="127" t="s">
        <v>269</v>
      </c>
      <c r="B56" s="127" t="str">
        <f>IF('pay out values'!B32="","",'pay out values'!B32)</f>
        <v>Measure 6</v>
      </c>
      <c r="C56" s="127" t="str">
        <f>IF(N('pay out values'!C32)=0,"not used",IF(ABS('pay out values'!D147-1)&gt;=0.00005,"CHECK: shares add up to "&amp;FIXED(('pay out values'!D147)*100,1)&amp;"%","OK"))</f>
        <v>not used</v>
      </c>
      <c r="D56" s="50">
        <f>IF(N('pay out values'!C32)=0,0,ABS('pay out values'!C147-'pay out values'!K142))</f>
        <v>0</v>
      </c>
      <c r="E56" s="127" t="str">
        <f>IF(N('pay out values'!C32)=0,"not used",IF(ABS('Measure 6 project payments'!K45-'Measure 6 project payments'!B5)+ABS('Measure 6 project payments'!K34-'Measure 6 project payments'!B5)&lt;=$B$4,"OK","CHECK: difference EUR "&amp;FIXED(ABS('Measure 6 project payments'!K45-'Measure 6 project payments'!B5)+ABS('Measure 6 project payments'!K34-'Measure 6 project payments'!B5),0)))</f>
        <v>not used</v>
      </c>
      <c r="F56" s="127" t="str">
        <f>IF(N('pay out values'!C32)=0,"not used","EUR "&amp;FIXED('Measure 6 project payments'!K30,0)&amp;" of EUR "&amp;FIXED('Measure 6 project payments'!B5,0))</f>
        <v>not used</v>
      </c>
      <c r="G56" s="127" t="s">
        <v>270</v>
      </c>
    </row>
    <row r="57" spans="1:7" x14ac:dyDescent="0.3">
      <c r="A57" s="127" t="s">
        <v>271</v>
      </c>
      <c r="B57" s="127" t="str">
        <f>IF('pay out values'!B33="","",'pay out values'!B33)</f>
        <v>Measure 7</v>
      </c>
      <c r="C57" s="127" t="str">
        <f>IF(N('pay out values'!C33)=0,"not used",IF(ABS('pay out values'!D165-1)&gt;=0.00005,"CHECK: shares add up to "&amp;FIXED(('pay out values'!D165)*100,1)&amp;"%","OK"))</f>
        <v>not used</v>
      </c>
      <c r="D57" s="50">
        <f>IF(N('pay out values'!C33)=0,0,ABS('pay out values'!C165-'pay out values'!K160))</f>
        <v>0</v>
      </c>
      <c r="E57" s="127" t="str">
        <f>IF(N('pay out values'!C33)=0,"not used",IF(ABS('Measure 7 project payments'!K45-'Measure 7 project payments'!B5)+ABS('Measure 7 project payments'!K34-'Measure 7 project payments'!B5)&lt;=$B$4,"OK","CHECK: difference EUR "&amp;FIXED(ABS('Measure 7 project payments'!K45-'Measure 7 project payments'!B5)+ABS('Measure 7 project payments'!K34-'Measure 7 project payments'!B5),0)))</f>
        <v>not used</v>
      </c>
      <c r="F57" s="127" t="str">
        <f>IF(N('pay out values'!C33)=0,"not used","EUR "&amp;FIXED('Measure 7 project payments'!K30,0)&amp;" of EUR "&amp;FIXED('Measure 7 project payments'!B5,0))</f>
        <v>not used</v>
      </c>
      <c r="G57" s="127" t="s">
        <v>272</v>
      </c>
    </row>
    <row r="58" spans="1:7" x14ac:dyDescent="0.3">
      <c r="A58" s="127" t="s">
        <v>273</v>
      </c>
      <c r="B58" s="127" t="str">
        <f>IF('pay out values'!B34="","",'pay out values'!B34)</f>
        <v>Measure 8</v>
      </c>
      <c r="C58" s="127" t="str">
        <f>IF(N('pay out values'!C34)=0,"not used",IF(ABS('pay out values'!D183-1)&gt;=0.00005,"CHECK: shares add up to "&amp;FIXED(('pay out values'!D183)*100,1)&amp;"%","OK"))</f>
        <v>not used</v>
      </c>
      <c r="D58" s="50">
        <f>IF(N('pay out values'!C34)=0,0,ABS('pay out values'!C183-'pay out values'!K178))</f>
        <v>0</v>
      </c>
      <c r="E58" s="127" t="str">
        <f>IF(N('pay out values'!C34)=0,"not used",IF(ABS('Measure 8 project payments'!K45-'Measure 8 project payments'!B5)+ABS('Measure 8 project payments'!K34-'Measure 8 project payments'!B5)&lt;=$B$4,"OK","CHECK: difference EUR "&amp;FIXED(ABS('Measure 8 project payments'!K45-'Measure 8 project payments'!B5)+ABS('Measure 8 project payments'!K34-'Measure 8 project payments'!B5),0)))</f>
        <v>not used</v>
      </c>
      <c r="F58" s="127" t="str">
        <f>IF(N('pay out values'!C34)=0,"not used","EUR "&amp;FIXED('Measure 8 project payments'!K30,0)&amp;" of EUR "&amp;FIXED('Measure 8 project payments'!B5,0))</f>
        <v>not used</v>
      </c>
      <c r="G58" s="127" t="s">
        <v>274</v>
      </c>
    </row>
    <row r="59" spans="1:7" x14ac:dyDescent="0.3">
      <c r="A59" s="127" t="s">
        <v>275</v>
      </c>
      <c r="B59" s="127" t="str">
        <f>IF('pay out values'!B35="","",'pay out values'!B35)</f>
        <v>Measure 9</v>
      </c>
      <c r="C59" s="127" t="str">
        <f>IF(N('pay out values'!C35)=0,"not used",IF(ABS('pay out values'!D201-1)&gt;=0.00005,"CHECK: shares add up to "&amp;FIXED(('pay out values'!D201)*100,1)&amp;"%","OK"))</f>
        <v>not used</v>
      </c>
      <c r="D59" s="50">
        <f>IF(N('pay out values'!C35)=0,0,ABS('pay out values'!C201-'pay out values'!K196))</f>
        <v>0</v>
      </c>
      <c r="E59" s="127" t="str">
        <f>IF(N('pay out values'!C35)=0,"not used",IF(ABS('Measure 9 project payments'!K45-'Measure 9 project payments'!B5)+ABS('Measure 9 project payments'!K34-'Measure 9 project payments'!B5)&lt;=$B$4,"OK","CHECK: difference EUR "&amp;FIXED(ABS('Measure 9 project payments'!K45-'Measure 9 project payments'!B5)+ABS('Measure 9 project payments'!K34-'Measure 9 project payments'!B5),0)))</f>
        <v>not used</v>
      </c>
      <c r="F59" s="127" t="str">
        <f>IF(N('pay out values'!C35)=0,"not used","EUR "&amp;FIXED('Measure 9 project payments'!K30,0)&amp;" of EUR "&amp;FIXED('Measure 9 project payments'!B5,0))</f>
        <v>not used</v>
      </c>
      <c r="G59" s="127" t="s">
        <v>276</v>
      </c>
    </row>
    <row r="60" spans="1:7" x14ac:dyDescent="0.3">
      <c r="A60" s="127" t="s">
        <v>277</v>
      </c>
      <c r="B60" s="127" t="str">
        <f>IF('pay out values'!B36="","",'pay out values'!B36)</f>
        <v>Measure 10</v>
      </c>
      <c r="C60" s="127" t="str">
        <f>IF(N('pay out values'!C36)=0,"not used",IF(ABS('pay out values'!D219-1)&gt;=0.00005,"CHECK: shares add up to "&amp;FIXED(('pay out values'!D219)*100,1)&amp;"%","OK"))</f>
        <v>not used</v>
      </c>
      <c r="D60" s="50">
        <f>IF(N('pay out values'!C36)=0,0,ABS('pay out values'!C219-'pay out values'!K214))</f>
        <v>0</v>
      </c>
      <c r="E60" s="127" t="str">
        <f>IF(N('pay out values'!C36)=0,"not used",IF(ABS('Measure 10 project payments'!K45-'Measure 10 project payments'!B5)+ABS('Measure 10 project payments'!K34-'Measure 10 project payments'!B5)&lt;=$B$4,"OK","CHECK: difference EUR "&amp;FIXED(ABS('Measure 10 project payments'!K45-'Measure 10 project payments'!B5)+ABS('Measure 10 project payments'!K34-'Measure 10 project payments'!B5),0)))</f>
        <v>not used</v>
      </c>
      <c r="F60" s="127" t="str">
        <f>IF(N('pay out values'!C36)=0,"not used","EUR "&amp;FIXED('Measure 10 project payments'!K30,0)&amp;" of EUR "&amp;FIXED('Measure 10 project payments'!B5,0))</f>
        <v>not used</v>
      </c>
      <c r="G60" s="127" t="s">
        <v>278</v>
      </c>
    </row>
  </sheetData>
  <mergeCells count="4">
    <mergeCell ref="A1:G1"/>
    <mergeCell ref="A2:G2"/>
    <mergeCell ref="A31:G31"/>
    <mergeCell ref="A49:G49"/>
  </mergeCells>
  <conditionalFormatting sqref="B3">
    <cfRule type="expression" dxfId="84" priority="3">
      <formula>LEFT($B$3,5)="CHECK"</formula>
    </cfRule>
    <cfRule type="expression" dxfId="83" priority="4">
      <formula>LEFT($B$3,3)="All"</formula>
    </cfRule>
  </conditionalFormatting>
  <conditionalFormatting sqref="C51:C60">
    <cfRule type="expression" dxfId="82" priority="6">
      <formula>LEFT(C51,5)="CHECK"</formula>
    </cfRule>
    <cfRule type="expression" dxfId="81" priority="7">
      <formula>LEFT(C51,2)="OK"</formula>
    </cfRule>
  </conditionalFormatting>
  <conditionalFormatting sqref="D33:D47">
    <cfRule type="expression" dxfId="80" priority="5">
      <formula>D33&gt;0</formula>
    </cfRule>
  </conditionalFormatting>
  <conditionalFormatting sqref="E7:E29">
    <cfRule type="expression" dxfId="79" priority="1">
      <formula>LEFT($E7,5)="CHECK"</formula>
    </cfRule>
    <cfRule type="expression" dxfId="78" priority="2">
      <formula>LEFT($E7,2)="OK"</formula>
    </cfRule>
  </conditionalFormatting>
  <conditionalFormatting sqref="E51:E60">
    <cfRule type="expression" dxfId="77" priority="8">
      <formula>LEFT(E51,5)="CHECK"</formula>
    </cfRule>
    <cfRule type="expression" dxfId="76" priority="9">
      <formula>LEFT(E51,2)="OK"</formula>
    </cfRule>
  </conditionalFormatting>
  <dataValidations count="1">
    <dataValidation type="decimal" operator="greaterThanOrEqual" allowBlank="1" showInputMessage="1" showErrorMessage="1" errorTitle="Amount required" error="Enter a tolerance of 0 or more." promptTitle="Tolerance (EUR)" prompt="Largest difference in EUR that is accepted as rounding in the reconciliation checks. Default 1." sqref="B4" xr:uid="{00000000-0002-0000-0100-000000000000}">
      <formula1>0</formula1>
    </dataValidation>
  </dataValidations>
  <pageMargins left="0.7" right="0.7" top="0.75" bottom="0.75" header="0.3" footer="0.3"/>
  <pageSetup fitToHeight="0" orientation="landscape"/>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B5E14-5262-4388-BE10-FB5D7CFF5A79}">
  <sheetPr>
    <tabColor theme="8" tint="0.39997558519241921"/>
  </sheetPr>
  <dimension ref="A1:X220"/>
  <sheetViews>
    <sheetView topLeftCell="A66" zoomScaleNormal="100" workbookViewId="0">
      <selection activeCell="F91" sqref="F91"/>
    </sheetView>
  </sheetViews>
  <sheetFormatPr defaultRowHeight="15.05" x14ac:dyDescent="0.3"/>
  <cols>
    <col min="1" max="1" width="17.44140625" customWidth="1"/>
    <col min="2" max="2" width="32.44140625" customWidth="1"/>
    <col min="3" max="5" width="14.44140625" bestFit="1" customWidth="1"/>
    <col min="6" max="7" width="16.44140625" customWidth="1"/>
    <col min="8" max="8" width="14" bestFit="1" customWidth="1"/>
    <col min="9" max="9" width="15.5546875" customWidth="1"/>
    <col min="10" max="13" width="14.44140625" bestFit="1" customWidth="1"/>
    <col min="14" max="15" width="14.44140625" style="2" bestFit="1" customWidth="1"/>
    <col min="16" max="17" width="13.44140625" style="2" bestFit="1" customWidth="1"/>
    <col min="18" max="18" width="15.5546875" customWidth="1"/>
    <col min="19" max="19" width="14.44140625" bestFit="1" customWidth="1"/>
    <col min="20" max="21" width="12.5546875" bestFit="1" customWidth="1"/>
    <col min="22" max="22" width="11.44140625" bestFit="1" customWidth="1"/>
    <col min="23" max="24" width="13.5546875" bestFit="1" customWidth="1"/>
  </cols>
  <sheetData>
    <row r="1" spans="1:17" ht="14.9" customHeight="1" x14ac:dyDescent="0.3">
      <c r="A1" s="147" t="s">
        <v>279</v>
      </c>
      <c r="B1" s="147"/>
      <c r="C1" s="147"/>
      <c r="D1" s="147"/>
      <c r="E1" s="147"/>
      <c r="F1" s="147"/>
      <c r="G1" s="147"/>
      <c r="H1" s="147"/>
      <c r="I1" s="147"/>
      <c r="J1" s="147"/>
      <c r="K1" s="147"/>
      <c r="L1" s="147"/>
      <c r="M1" s="147"/>
    </row>
    <row r="2" spans="1:17" ht="18" customHeight="1" x14ac:dyDescent="0.3">
      <c r="A2" s="147"/>
      <c r="B2" s="147"/>
      <c r="C2" s="147"/>
      <c r="D2" s="147"/>
      <c r="E2" s="147"/>
      <c r="F2" s="147"/>
      <c r="G2" s="147"/>
      <c r="H2" s="147"/>
      <c r="I2" s="147"/>
      <c r="J2" s="147"/>
      <c r="K2" s="147"/>
      <c r="L2" s="147"/>
      <c r="M2" s="147"/>
      <c r="O2"/>
      <c r="P2"/>
      <c r="Q2"/>
    </row>
    <row r="3" spans="1:17" ht="18" customHeight="1" x14ac:dyDescent="0.3">
      <c r="A3" s="18" t="s">
        <v>280</v>
      </c>
      <c r="B3" s="63" t="str">
        <f>Checks!B3</f>
        <v>CHECKS FAILED: 2 of 23</v>
      </c>
      <c r="C3" s="33"/>
      <c r="D3" s="33"/>
      <c r="E3" s="33"/>
      <c r="F3" s="33"/>
      <c r="G3" s="33"/>
      <c r="H3" s="33"/>
      <c r="I3" s="33"/>
      <c r="J3" s="33"/>
      <c r="K3" s="34"/>
      <c r="L3" s="34"/>
      <c r="M3" s="34"/>
      <c r="O3"/>
      <c r="P3"/>
      <c r="Q3"/>
    </row>
    <row r="4" spans="1:17" ht="18" customHeight="1" x14ac:dyDescent="0.3">
      <c r="A4" s="34"/>
      <c r="B4" s="33"/>
      <c r="C4" s="33"/>
      <c r="D4" s="33"/>
      <c r="E4" s="33"/>
      <c r="F4" s="33"/>
      <c r="G4" s="33"/>
      <c r="H4" s="33"/>
      <c r="I4" s="33"/>
      <c r="J4" s="33"/>
      <c r="K4" s="34"/>
      <c r="L4" s="34"/>
      <c r="M4" s="34"/>
      <c r="O4"/>
      <c r="P4"/>
      <c r="Q4"/>
    </row>
    <row r="5" spans="1:17" ht="14.9" customHeight="1" x14ac:dyDescent="0.3">
      <c r="A5" s="175" t="s">
        <v>281</v>
      </c>
      <c r="B5" s="154" t="s">
        <v>282</v>
      </c>
      <c r="C5" s="155"/>
      <c r="D5" s="155"/>
      <c r="E5" s="155"/>
      <c r="F5" s="155"/>
      <c r="G5" s="155"/>
      <c r="H5" s="155"/>
      <c r="I5" s="155"/>
      <c r="J5" s="156"/>
      <c r="K5" s="34"/>
      <c r="L5" s="34"/>
      <c r="M5" s="34"/>
      <c r="O5"/>
      <c r="P5"/>
      <c r="Q5"/>
    </row>
    <row r="6" spans="1:17" ht="14.9" customHeight="1" x14ac:dyDescent="0.3">
      <c r="A6" s="176"/>
      <c r="B6" s="19">
        <v>2028</v>
      </c>
      <c r="C6" s="19">
        <v>2029</v>
      </c>
      <c r="D6" s="19">
        <v>2030</v>
      </c>
      <c r="E6" s="19">
        <v>2031</v>
      </c>
      <c r="F6" s="19">
        <v>2032</v>
      </c>
      <c r="G6" s="19">
        <v>2033</v>
      </c>
      <c r="H6" s="19">
        <v>2034</v>
      </c>
      <c r="I6" s="19">
        <v>2035</v>
      </c>
      <c r="J6" s="19" t="s">
        <v>283</v>
      </c>
      <c r="K6" s="34"/>
      <c r="L6" s="34"/>
      <c r="M6" s="34"/>
      <c r="O6"/>
      <c r="P6"/>
      <c r="Q6"/>
    </row>
    <row r="7" spans="1:17" x14ac:dyDescent="0.3">
      <c r="A7" s="19" t="s">
        <v>284</v>
      </c>
      <c r="B7" s="50">
        <f t="shared" ref="B7:I8" si="0">P44+P62+P80+P98+P116+P134+P152+P170+P188+P206</f>
        <v>0</v>
      </c>
      <c r="C7" s="50">
        <f t="shared" si="0"/>
        <v>0</v>
      </c>
      <c r="D7" s="50">
        <f t="shared" si="0"/>
        <v>0</v>
      </c>
      <c r="E7" s="50">
        <f t="shared" si="0"/>
        <v>0</v>
      </c>
      <c r="F7" s="50">
        <f t="shared" si="0"/>
        <v>0</v>
      </c>
      <c r="G7" s="50">
        <f t="shared" si="0"/>
        <v>0</v>
      </c>
      <c r="H7" s="50">
        <f t="shared" si="0"/>
        <v>0</v>
      </c>
      <c r="I7" s="50">
        <f t="shared" si="0"/>
        <v>0</v>
      </c>
      <c r="J7" s="65">
        <f>SUM(B7:I7)</f>
        <v>0</v>
      </c>
      <c r="K7" s="34"/>
      <c r="L7" s="34"/>
      <c r="M7" s="34"/>
      <c r="O7"/>
      <c r="P7"/>
      <c r="Q7"/>
    </row>
    <row r="8" spans="1:17" x14ac:dyDescent="0.3">
      <c r="A8" s="19" t="s">
        <v>285</v>
      </c>
      <c r="B8" s="50">
        <f t="shared" si="0"/>
        <v>0</v>
      </c>
      <c r="C8" s="50">
        <f t="shared" si="0"/>
        <v>0</v>
      </c>
      <c r="D8" s="50">
        <f t="shared" si="0"/>
        <v>0</v>
      </c>
      <c r="E8" s="50">
        <f t="shared" si="0"/>
        <v>0</v>
      </c>
      <c r="F8" s="50">
        <f t="shared" si="0"/>
        <v>0</v>
      </c>
      <c r="G8" s="50">
        <f t="shared" si="0"/>
        <v>0</v>
      </c>
      <c r="H8" s="50">
        <f t="shared" si="0"/>
        <v>0</v>
      </c>
      <c r="I8" s="50">
        <f t="shared" si="0"/>
        <v>0</v>
      </c>
      <c r="J8" s="65">
        <f>SUM(B8:I8)</f>
        <v>0</v>
      </c>
      <c r="K8" s="34"/>
      <c r="L8" s="34"/>
      <c r="M8" s="34"/>
      <c r="O8"/>
      <c r="P8"/>
      <c r="Q8"/>
    </row>
    <row r="9" spans="1:17" x14ac:dyDescent="0.3">
      <c r="A9" s="19" t="s">
        <v>286</v>
      </c>
      <c r="B9" s="64">
        <f t="shared" ref="B9:I9" si="1">SUM(B7:B8)</f>
        <v>0</v>
      </c>
      <c r="C9" s="64">
        <f t="shared" si="1"/>
        <v>0</v>
      </c>
      <c r="D9" s="64">
        <f t="shared" si="1"/>
        <v>0</v>
      </c>
      <c r="E9" s="64">
        <f t="shared" si="1"/>
        <v>0</v>
      </c>
      <c r="F9" s="64">
        <f t="shared" si="1"/>
        <v>0</v>
      </c>
      <c r="G9" s="64">
        <f t="shared" si="1"/>
        <v>0</v>
      </c>
      <c r="H9" s="64">
        <f t="shared" si="1"/>
        <v>0</v>
      </c>
      <c r="I9" s="64">
        <f t="shared" si="1"/>
        <v>0</v>
      </c>
      <c r="J9" s="27">
        <f>SUM(B9:I9)</f>
        <v>0</v>
      </c>
      <c r="K9" s="34"/>
      <c r="L9" s="34"/>
      <c r="M9" s="34"/>
      <c r="O9"/>
      <c r="P9"/>
      <c r="Q9"/>
    </row>
    <row r="10" spans="1:17" ht="43.2" x14ac:dyDescent="0.3">
      <c r="A10" s="66" t="s">
        <v>456</v>
      </c>
      <c r="B10" s="67">
        <f>COUNTIFS(G44:G296,"2028",C44:C296,"&gt;0")</f>
        <v>0</v>
      </c>
      <c r="C10" s="67">
        <f>COUNTIFS(G44:G296,"2029",C44:C296,"&gt;0")</f>
        <v>0</v>
      </c>
      <c r="D10" s="67">
        <f>COUNTIFS(G44:G296,"2030",C44:C296,"&gt;0")</f>
        <v>0</v>
      </c>
      <c r="E10" s="67">
        <f>COUNTIFS(G44:G296,"2031",C44:C296,"&gt;0")</f>
        <v>0</v>
      </c>
      <c r="F10" s="68">
        <f>COUNTIFS(G44:G296,"2032",C44:C296,"&gt;0")</f>
        <v>0</v>
      </c>
      <c r="G10" s="67">
        <f>COUNTIFS(G44:G296,"2033",C44:C296,"&gt;0")</f>
        <v>0</v>
      </c>
      <c r="H10" s="67">
        <f>COUNTIFS(G44:G296,"2034",C44:C296,"&gt;0")</f>
        <v>0</v>
      </c>
      <c r="I10" s="67">
        <f>COUNTIFS(G44:G296,"2035",C44:C296, "&gt;0")</f>
        <v>0</v>
      </c>
      <c r="J10" s="34"/>
      <c r="K10" s="34"/>
      <c r="L10" s="34"/>
      <c r="M10" s="34"/>
      <c r="O10"/>
      <c r="P10"/>
      <c r="Q10"/>
    </row>
    <row r="11" spans="1:17" ht="14.4" x14ac:dyDescent="0.3">
      <c r="A11" s="34"/>
      <c r="B11" s="34"/>
      <c r="C11" s="34"/>
      <c r="D11" s="34"/>
      <c r="E11" s="34"/>
      <c r="F11" s="34" t="s">
        <v>287</v>
      </c>
      <c r="G11" s="34"/>
      <c r="H11" s="34"/>
      <c r="I11" s="34"/>
      <c r="J11" s="34"/>
      <c r="K11" s="34"/>
      <c r="L11" s="34"/>
      <c r="M11" s="34"/>
    </row>
    <row r="14" spans="1:17" ht="18" x14ac:dyDescent="0.3">
      <c r="A14" s="157" t="s">
        <v>288</v>
      </c>
      <c r="B14" s="157"/>
      <c r="C14" s="157"/>
      <c r="D14" s="157"/>
      <c r="E14" s="157"/>
      <c r="F14" s="157"/>
      <c r="G14" s="157"/>
      <c r="H14" s="157"/>
      <c r="I14" s="157"/>
      <c r="J14" s="157"/>
      <c r="K14" s="157"/>
      <c r="L14" s="157"/>
      <c r="M14" s="157"/>
    </row>
    <row r="15" spans="1:17" x14ac:dyDescent="0.3">
      <c r="A15" s="172" t="s">
        <v>289</v>
      </c>
      <c r="B15" s="173"/>
      <c r="C15" s="174"/>
      <c r="D15" s="122"/>
      <c r="E15" s="24"/>
    </row>
    <row r="16" spans="1:17" ht="14.4" x14ac:dyDescent="0.3">
      <c r="A16" s="169" t="s">
        <v>57</v>
      </c>
      <c r="B16" s="170"/>
      <c r="C16" s="171"/>
      <c r="D16" s="17">
        <v>0.8</v>
      </c>
      <c r="E16" s="21"/>
      <c r="F16" s="35"/>
      <c r="G16" s="35"/>
      <c r="H16" s="35"/>
    </row>
    <row r="17" spans="1:19" x14ac:dyDescent="0.3">
      <c r="A17" s="169" t="s">
        <v>290</v>
      </c>
      <c r="B17" s="170"/>
      <c r="C17" s="171"/>
      <c r="D17" s="61">
        <f>D21+D19/D16</f>
        <v>0</v>
      </c>
    </row>
    <row r="18" spans="1:19" x14ac:dyDescent="0.3">
      <c r="A18" s="158" t="s">
        <v>291</v>
      </c>
      <c r="B18" s="158"/>
      <c r="C18" s="159"/>
      <c r="D18" s="62">
        <f>D15</f>
        <v>0</v>
      </c>
    </row>
    <row r="19" spans="1:19" x14ac:dyDescent="0.3">
      <c r="A19" s="160" t="s">
        <v>285</v>
      </c>
      <c r="B19" s="160"/>
      <c r="C19" s="161"/>
      <c r="D19" s="63">
        <f>D18-D20</f>
        <v>0</v>
      </c>
      <c r="E19" s="17">
        <v>0.08</v>
      </c>
      <c r="O19" s="25" t="s">
        <v>292</v>
      </c>
    </row>
    <row r="20" spans="1:19" x14ac:dyDescent="0.3">
      <c r="A20" s="162" t="s">
        <v>293</v>
      </c>
      <c r="B20" s="162"/>
      <c r="C20" s="163"/>
      <c r="D20" s="61">
        <f>D18/(1+E19)</f>
        <v>0</v>
      </c>
    </row>
    <row r="21" spans="1:19" ht="29.15" customHeight="1" x14ac:dyDescent="0.3">
      <c r="A21" s="164" t="s">
        <v>294</v>
      </c>
      <c r="B21" s="164"/>
      <c r="C21" s="165"/>
      <c r="D21" s="63">
        <f>D20/D16</f>
        <v>0</v>
      </c>
      <c r="F21" s="35"/>
      <c r="G21" s="35"/>
      <c r="H21" s="35"/>
    </row>
    <row r="22" spans="1:19" ht="14.4" x14ac:dyDescent="0.3">
      <c r="S22" s="26"/>
    </row>
    <row r="23" spans="1:19" ht="14.4" x14ac:dyDescent="0.3">
      <c r="S23" s="26"/>
    </row>
    <row r="24" spans="1:19" ht="14.4" x14ac:dyDescent="0.3">
      <c r="S24" s="26"/>
    </row>
    <row r="25" spans="1:19" ht="18.649999999999999" thickBot="1" x14ac:dyDescent="0.35">
      <c r="A25" s="157" t="s">
        <v>295</v>
      </c>
      <c r="B25" s="157"/>
      <c r="C25" s="157"/>
      <c r="D25" s="157"/>
      <c r="E25" s="157"/>
      <c r="F25" s="157"/>
      <c r="G25" s="157"/>
      <c r="H25" s="157"/>
      <c r="I25" s="157"/>
      <c r="J25" s="157"/>
      <c r="K25" s="157"/>
      <c r="L25" s="157"/>
      <c r="M25" s="157"/>
      <c r="S25" s="26"/>
    </row>
    <row r="26" spans="1:19" ht="57.95" customHeight="1" x14ac:dyDescent="0.3">
      <c r="B26" s="47" t="s">
        <v>296</v>
      </c>
      <c r="C26" s="133" t="s">
        <v>297</v>
      </c>
      <c r="D26" s="134" t="s">
        <v>298</v>
      </c>
      <c r="E26" s="135" t="s">
        <v>299</v>
      </c>
      <c r="F26" s="129" t="s">
        <v>300</v>
      </c>
      <c r="G26" s="6" t="s">
        <v>301</v>
      </c>
      <c r="H26" s="9" t="s">
        <v>302</v>
      </c>
      <c r="I26" s="9" t="s">
        <v>303</v>
      </c>
      <c r="S26" s="26"/>
    </row>
    <row r="27" spans="1:19" ht="14.4" x14ac:dyDescent="0.3">
      <c r="B27" s="136" t="s">
        <v>259</v>
      </c>
      <c r="C27" s="20"/>
      <c r="D27" s="63">
        <f t="shared" ref="D27:D36" si="2">$D$20*C27</f>
        <v>0</v>
      </c>
      <c r="E27" s="74">
        <f t="shared" ref="E27:E36" si="3">IF(D27=0,0,IF(N(IF(F27="",$D$16,F27))=0,0,D27/IF(F27="",$D$16,F27)))</f>
        <v>0</v>
      </c>
      <c r="F27" s="130"/>
      <c r="G27" s="50">
        <f t="shared" ref="G27:G37" si="4">E27-D27</f>
        <v>0</v>
      </c>
      <c r="H27" s="122"/>
      <c r="I27" s="122"/>
    </row>
    <row r="28" spans="1:19" ht="14.4" x14ac:dyDescent="0.3">
      <c r="B28" s="136" t="s">
        <v>261</v>
      </c>
      <c r="C28" s="20"/>
      <c r="D28" s="63">
        <f t="shared" si="2"/>
        <v>0</v>
      </c>
      <c r="E28" s="74">
        <f t="shared" si="3"/>
        <v>0</v>
      </c>
      <c r="F28" s="130"/>
      <c r="G28" s="50">
        <f t="shared" si="4"/>
        <v>0</v>
      </c>
      <c r="H28" s="122"/>
      <c r="I28" s="122"/>
    </row>
    <row r="29" spans="1:19" ht="14.4" x14ac:dyDescent="0.3">
      <c r="B29" s="136" t="s">
        <v>263</v>
      </c>
      <c r="C29" s="20"/>
      <c r="D29" s="63">
        <f t="shared" si="2"/>
        <v>0</v>
      </c>
      <c r="E29" s="74">
        <f t="shared" si="3"/>
        <v>0</v>
      </c>
      <c r="F29" s="130"/>
      <c r="G29" s="50">
        <f t="shared" si="4"/>
        <v>0</v>
      </c>
      <c r="H29" s="122"/>
      <c r="I29" s="122"/>
    </row>
    <row r="30" spans="1:19" ht="14.4" x14ac:dyDescent="0.3">
      <c r="B30" s="136" t="s">
        <v>265</v>
      </c>
      <c r="C30" s="20"/>
      <c r="D30" s="63">
        <f t="shared" si="2"/>
        <v>0</v>
      </c>
      <c r="E30" s="74">
        <f t="shared" si="3"/>
        <v>0</v>
      </c>
      <c r="F30" s="130"/>
      <c r="G30" s="50">
        <f t="shared" si="4"/>
        <v>0</v>
      </c>
      <c r="H30" s="122"/>
      <c r="I30" s="122"/>
    </row>
    <row r="31" spans="1:19" ht="14.4" x14ac:dyDescent="0.3">
      <c r="B31" s="136" t="s">
        <v>267</v>
      </c>
      <c r="C31" s="20"/>
      <c r="D31" s="63">
        <f t="shared" si="2"/>
        <v>0</v>
      </c>
      <c r="E31" s="74">
        <f t="shared" si="3"/>
        <v>0</v>
      </c>
      <c r="F31" s="130"/>
      <c r="G31" s="50">
        <f t="shared" si="4"/>
        <v>0</v>
      </c>
      <c r="H31" s="122"/>
      <c r="I31" s="122"/>
    </row>
    <row r="32" spans="1:19" ht="14.4" x14ac:dyDescent="0.3">
      <c r="B32" s="136" t="s">
        <v>269</v>
      </c>
      <c r="C32" s="20"/>
      <c r="D32" s="63">
        <f t="shared" si="2"/>
        <v>0</v>
      </c>
      <c r="E32" s="74">
        <f t="shared" si="3"/>
        <v>0</v>
      </c>
      <c r="F32" s="130"/>
      <c r="G32" s="50">
        <f t="shared" si="4"/>
        <v>0</v>
      </c>
      <c r="H32" s="122"/>
      <c r="I32" s="122"/>
    </row>
    <row r="33" spans="1:24" ht="14.4" x14ac:dyDescent="0.3">
      <c r="B33" s="136" t="s">
        <v>271</v>
      </c>
      <c r="C33" s="20"/>
      <c r="D33" s="63">
        <f t="shared" si="2"/>
        <v>0</v>
      </c>
      <c r="E33" s="74">
        <f t="shared" si="3"/>
        <v>0</v>
      </c>
      <c r="F33" s="130"/>
      <c r="G33" s="50">
        <f t="shared" si="4"/>
        <v>0</v>
      </c>
      <c r="H33" s="122"/>
      <c r="I33" s="122"/>
    </row>
    <row r="34" spans="1:24" ht="14.4" x14ac:dyDescent="0.3">
      <c r="B34" s="136" t="s">
        <v>273</v>
      </c>
      <c r="C34" s="20"/>
      <c r="D34" s="63">
        <f t="shared" si="2"/>
        <v>0</v>
      </c>
      <c r="E34" s="74">
        <f t="shared" si="3"/>
        <v>0</v>
      </c>
      <c r="F34" s="130"/>
      <c r="G34" s="50">
        <f t="shared" si="4"/>
        <v>0</v>
      </c>
      <c r="H34" s="122"/>
      <c r="I34" s="122"/>
    </row>
    <row r="35" spans="1:24" ht="14.4" x14ac:dyDescent="0.3">
      <c r="B35" s="136" t="s">
        <v>275</v>
      </c>
      <c r="C35" s="20"/>
      <c r="D35" s="63">
        <f t="shared" si="2"/>
        <v>0</v>
      </c>
      <c r="E35" s="74">
        <f t="shared" si="3"/>
        <v>0</v>
      </c>
      <c r="F35" s="130"/>
      <c r="G35" s="50">
        <f t="shared" si="4"/>
        <v>0</v>
      </c>
      <c r="H35" s="122"/>
      <c r="I35" s="122"/>
    </row>
    <row r="36" spans="1:24" ht="14.4" x14ac:dyDescent="0.3">
      <c r="B36" s="136" t="s">
        <v>277</v>
      </c>
      <c r="C36" s="20"/>
      <c r="D36" s="63">
        <f t="shared" si="2"/>
        <v>0</v>
      </c>
      <c r="E36" s="74">
        <f t="shared" si="3"/>
        <v>0</v>
      </c>
      <c r="F36" s="130"/>
      <c r="G36" s="50">
        <f t="shared" si="4"/>
        <v>0</v>
      </c>
      <c r="H36" s="122"/>
      <c r="I36" s="122"/>
    </row>
    <row r="37" spans="1:24" thickBot="1" x14ac:dyDescent="0.35">
      <c r="B37" s="39" t="s">
        <v>304</v>
      </c>
      <c r="C37" s="137">
        <f>SUM(C27:C36)</f>
        <v>0</v>
      </c>
      <c r="D37" s="138">
        <f>SUM(D27:D36)</f>
        <v>0</v>
      </c>
      <c r="E37" s="139">
        <f>SUM(E27:E36)</f>
        <v>0</v>
      </c>
      <c r="F37" s="131">
        <f>IF(E37=0,0,D37/E37)</f>
        <v>0</v>
      </c>
      <c r="G37" s="61">
        <f t="shared" si="4"/>
        <v>0</v>
      </c>
      <c r="H37" s="61">
        <f>SUM(H27:H36)</f>
        <v>0</v>
      </c>
      <c r="I37" s="61">
        <f>SUM(I27:I36)</f>
        <v>0</v>
      </c>
    </row>
    <row r="38" spans="1:24" ht="14.4" x14ac:dyDescent="0.3">
      <c r="B38" s="132" t="s">
        <v>305</v>
      </c>
      <c r="F38" s="63" t="str">
        <f>IF(NOT(ISNUMBER($D$16)),"Select the co-financing rate ceiling in D16 (80% or 85%) first.",IF(N(E37)=0,"",IF(ROUND(F37,6)&lt;=ROUND($D$16,6),"OK: weighted rate "&amp;FIXED(F37*100,2)&amp;"% does not exceed the ceiling of "&amp;ROUND($D$16*100,2)&amp;"%.","CHECK: weighted rate "&amp;FIXED(F37*100,2)&amp;"% exceeds the ceiling of "&amp;ROUND($D$16*100,2)&amp;"%. Lower the co-financing rate of one or more measures in F27:F36 until F37 is at or below D16.")))</f>
        <v/>
      </c>
    </row>
    <row r="40" spans="1:24" ht="18" x14ac:dyDescent="0.3">
      <c r="A40" s="157" t="s">
        <v>306</v>
      </c>
      <c r="B40" s="157"/>
      <c r="C40" s="157"/>
      <c r="D40" s="157"/>
      <c r="E40" s="157"/>
      <c r="F40" s="157"/>
      <c r="G40" s="157"/>
      <c r="H40" s="157"/>
      <c r="I40" s="157"/>
      <c r="J40" s="157"/>
      <c r="K40" s="157"/>
      <c r="L40" s="157"/>
      <c r="M40" s="157"/>
      <c r="O40" s="157" t="s">
        <v>307</v>
      </c>
      <c r="P40" s="157"/>
      <c r="Q40" s="157"/>
      <c r="R40" s="157"/>
      <c r="S40" s="157"/>
      <c r="T40" s="157"/>
      <c r="U40" s="157"/>
      <c r="V40" s="157"/>
      <c r="W40" s="157"/>
      <c r="X40" s="157"/>
    </row>
    <row r="41" spans="1:24" thickBot="1" x14ac:dyDescent="0.35">
      <c r="E41" s="2"/>
      <c r="F41" s="2"/>
      <c r="G41" s="2"/>
      <c r="H41" s="2"/>
    </row>
    <row r="42" spans="1:24" ht="15.65" thickBot="1" x14ac:dyDescent="0.35">
      <c r="A42" s="23" t="s">
        <v>308</v>
      </c>
      <c r="B42" s="41" t="str">
        <f>B27</f>
        <v>Measure 1</v>
      </c>
      <c r="C42" s="28"/>
      <c r="D42" s="28"/>
      <c r="E42" s="150" t="s">
        <v>309</v>
      </c>
      <c r="F42" s="150"/>
      <c r="G42" s="150"/>
      <c r="H42" s="150"/>
      <c r="I42" s="28"/>
      <c r="J42" s="166" t="s">
        <v>310</v>
      </c>
      <c r="K42" s="167"/>
      <c r="L42" s="167"/>
      <c r="M42" s="168"/>
      <c r="O42" s="48" t="str">
        <f>B42</f>
        <v>Measure 1</v>
      </c>
    </row>
    <row r="43" spans="1:24" ht="30.7" thickBot="1" x14ac:dyDescent="0.35">
      <c r="A43" s="42">
        <f>D27</f>
        <v>0</v>
      </c>
      <c r="B43" s="22" t="s">
        <v>311</v>
      </c>
      <c r="C43" s="6" t="s">
        <v>284</v>
      </c>
      <c r="D43" s="6" t="s">
        <v>312</v>
      </c>
      <c r="E43" s="6" t="s">
        <v>313</v>
      </c>
      <c r="F43" s="6" t="s">
        <v>314</v>
      </c>
      <c r="G43" s="6" t="s">
        <v>315</v>
      </c>
      <c r="H43" s="6" t="s">
        <v>316</v>
      </c>
      <c r="I43" s="36" t="s">
        <v>285</v>
      </c>
      <c r="J43" s="37" t="s">
        <v>317</v>
      </c>
      <c r="K43" s="6" t="s">
        <v>284</v>
      </c>
      <c r="L43" s="6" t="s">
        <v>285</v>
      </c>
      <c r="M43" s="38" t="s">
        <v>318</v>
      </c>
      <c r="O43" s="71" t="s">
        <v>317</v>
      </c>
      <c r="P43" s="72">
        <v>2028</v>
      </c>
      <c r="Q43" s="72">
        <v>2029</v>
      </c>
      <c r="R43" s="72">
        <v>2030</v>
      </c>
      <c r="S43" s="72">
        <v>2031</v>
      </c>
      <c r="T43" s="72">
        <v>2032</v>
      </c>
      <c r="U43" s="72">
        <v>2033</v>
      </c>
      <c r="V43" s="72">
        <v>2034</v>
      </c>
      <c r="W43" s="72">
        <v>2035</v>
      </c>
      <c r="X43" s="73" t="s">
        <v>319</v>
      </c>
    </row>
    <row r="44" spans="1:24" x14ac:dyDescent="0.3">
      <c r="A44" s="115" t="s">
        <v>320</v>
      </c>
      <c r="B44" s="116" t="s">
        <v>321</v>
      </c>
      <c r="C44" s="58">
        <f t="shared" ref="C44:C56" si="5">$A$43*D44</f>
        <v>0</v>
      </c>
      <c r="D44" s="118"/>
      <c r="E44" s="119"/>
      <c r="F44" s="119"/>
      <c r="G44" s="120">
        <v>2028</v>
      </c>
      <c r="H44" s="120" t="s">
        <v>322</v>
      </c>
      <c r="I44" s="60">
        <f t="shared" ref="I44:I56" si="6">C44*$E$19</f>
        <v>0</v>
      </c>
      <c r="J44" s="56">
        <v>2028</v>
      </c>
      <c r="K44" s="50">
        <f t="shared" ref="K44:K51" si="7">SUMIF($G$44:$G$56,J44,$C$44:$C$56)</f>
        <v>0</v>
      </c>
      <c r="L44" s="50">
        <f t="shared" ref="L44:L51" si="8">SUMIF($G$44:$G$56,J44,$I$44:$I$56)</f>
        <v>0</v>
      </c>
      <c r="M44" s="51">
        <f t="shared" ref="M44:M51" si="9">SUM(K44:L44)</f>
        <v>0</v>
      </c>
      <c r="O44" s="37" t="s">
        <v>284</v>
      </c>
      <c r="P44" s="50">
        <f t="shared" ref="P44:W44" si="10">SUMIF($G$44:$G$56,P43,$C$44:$C$56)</f>
        <v>0</v>
      </c>
      <c r="Q44" s="50">
        <f t="shared" si="10"/>
        <v>0</v>
      </c>
      <c r="R44" s="50">
        <f t="shared" si="10"/>
        <v>0</v>
      </c>
      <c r="S44" s="50">
        <f t="shared" si="10"/>
        <v>0</v>
      </c>
      <c r="T44" s="50">
        <f t="shared" si="10"/>
        <v>0</v>
      </c>
      <c r="U44" s="50">
        <f t="shared" si="10"/>
        <v>0</v>
      </c>
      <c r="V44" s="50">
        <f t="shared" si="10"/>
        <v>0</v>
      </c>
      <c r="W44" s="50">
        <f t="shared" si="10"/>
        <v>0</v>
      </c>
      <c r="X44" s="74">
        <f>SUM(P44:W44)</f>
        <v>0</v>
      </c>
    </row>
    <row r="45" spans="1:24" x14ac:dyDescent="0.3">
      <c r="A45" s="117" t="s">
        <v>320</v>
      </c>
      <c r="B45" s="116" t="s">
        <v>323</v>
      </c>
      <c r="C45" s="58">
        <f t="shared" si="5"/>
        <v>0</v>
      </c>
      <c r="D45" s="118"/>
      <c r="E45" s="119"/>
      <c r="F45" s="119"/>
      <c r="G45" s="120">
        <v>2028</v>
      </c>
      <c r="H45" s="120" t="s">
        <v>324</v>
      </c>
      <c r="I45" s="60">
        <f t="shared" si="6"/>
        <v>0</v>
      </c>
      <c r="J45" s="56">
        <v>2029</v>
      </c>
      <c r="K45" s="50">
        <f t="shared" si="7"/>
        <v>0</v>
      </c>
      <c r="L45" s="50">
        <f t="shared" si="8"/>
        <v>0</v>
      </c>
      <c r="M45" s="51">
        <f t="shared" si="9"/>
        <v>0</v>
      </c>
      <c r="O45" s="37" t="s">
        <v>285</v>
      </c>
      <c r="P45" s="50">
        <f t="shared" ref="P45:W45" si="11">SUMIF($G$44:$G$56,P43,$I$44:$I$56)</f>
        <v>0</v>
      </c>
      <c r="Q45" s="50">
        <f t="shared" si="11"/>
        <v>0</v>
      </c>
      <c r="R45" s="50">
        <f t="shared" si="11"/>
        <v>0</v>
      </c>
      <c r="S45" s="50">
        <f t="shared" si="11"/>
        <v>0</v>
      </c>
      <c r="T45" s="50">
        <f t="shared" si="11"/>
        <v>0</v>
      </c>
      <c r="U45" s="50">
        <f t="shared" si="11"/>
        <v>0</v>
      </c>
      <c r="V45" s="50">
        <f t="shared" si="11"/>
        <v>0</v>
      </c>
      <c r="W45" s="50">
        <f t="shared" si="11"/>
        <v>0</v>
      </c>
      <c r="X45" s="74">
        <f>SUM(P45:W45)</f>
        <v>0</v>
      </c>
    </row>
    <row r="46" spans="1:24" ht="30.7" thickBot="1" x14ac:dyDescent="0.35">
      <c r="A46" s="117" t="s">
        <v>325</v>
      </c>
      <c r="B46" s="116" t="s">
        <v>326</v>
      </c>
      <c r="C46" s="58">
        <f t="shared" si="5"/>
        <v>0</v>
      </c>
      <c r="D46" s="118"/>
      <c r="E46" s="119"/>
      <c r="F46" s="119"/>
      <c r="G46" s="120">
        <v>2029</v>
      </c>
      <c r="H46" s="120" t="s">
        <v>327</v>
      </c>
      <c r="I46" s="60">
        <f t="shared" si="6"/>
        <v>0</v>
      </c>
      <c r="J46" s="56">
        <v>2030</v>
      </c>
      <c r="K46" s="50">
        <f t="shared" si="7"/>
        <v>0</v>
      </c>
      <c r="L46" s="50">
        <f t="shared" si="8"/>
        <v>0</v>
      </c>
      <c r="M46" s="51">
        <f t="shared" si="9"/>
        <v>0</v>
      </c>
      <c r="O46" s="75" t="s">
        <v>318</v>
      </c>
      <c r="P46" s="76">
        <f t="shared" ref="P46:W46" si="12">SUM(P44:P45)</f>
        <v>0</v>
      </c>
      <c r="Q46" s="76">
        <f t="shared" si="12"/>
        <v>0</v>
      </c>
      <c r="R46" s="76">
        <f t="shared" si="12"/>
        <v>0</v>
      </c>
      <c r="S46" s="76">
        <f t="shared" si="12"/>
        <v>0</v>
      </c>
      <c r="T46" s="76">
        <f t="shared" si="12"/>
        <v>0</v>
      </c>
      <c r="U46" s="76">
        <f t="shared" si="12"/>
        <v>0</v>
      </c>
      <c r="V46" s="76">
        <f t="shared" si="12"/>
        <v>0</v>
      </c>
      <c r="W46" s="76">
        <f t="shared" si="12"/>
        <v>0</v>
      </c>
      <c r="X46" s="77">
        <f>SUM(P46:W46)</f>
        <v>0</v>
      </c>
    </row>
    <row r="47" spans="1:24" ht="14.4" x14ac:dyDescent="0.3">
      <c r="A47" s="117" t="s">
        <v>320</v>
      </c>
      <c r="B47" s="116" t="s">
        <v>328</v>
      </c>
      <c r="C47" s="58">
        <f t="shared" si="5"/>
        <v>0</v>
      </c>
      <c r="D47" s="118"/>
      <c r="E47" s="119"/>
      <c r="F47" s="119"/>
      <c r="G47" s="120">
        <v>2029</v>
      </c>
      <c r="H47" s="120" t="s">
        <v>329</v>
      </c>
      <c r="I47" s="60">
        <f t="shared" si="6"/>
        <v>0</v>
      </c>
      <c r="J47" s="56">
        <v>2031</v>
      </c>
      <c r="K47" s="50">
        <f t="shared" si="7"/>
        <v>0</v>
      </c>
      <c r="L47" s="50">
        <f t="shared" si="8"/>
        <v>0</v>
      </c>
      <c r="M47" s="51">
        <f t="shared" si="9"/>
        <v>0</v>
      </c>
    </row>
    <row r="48" spans="1:24" ht="14.4" x14ac:dyDescent="0.3">
      <c r="A48" s="117" t="s">
        <v>320</v>
      </c>
      <c r="B48" s="116" t="s">
        <v>330</v>
      </c>
      <c r="C48" s="58">
        <f t="shared" si="5"/>
        <v>0</v>
      </c>
      <c r="D48" s="118"/>
      <c r="E48" s="119"/>
      <c r="F48" s="119"/>
      <c r="G48" s="120">
        <v>2030</v>
      </c>
      <c r="H48" s="120" t="s">
        <v>324</v>
      </c>
      <c r="I48" s="60">
        <f t="shared" si="6"/>
        <v>0</v>
      </c>
      <c r="J48" s="56">
        <v>2032</v>
      </c>
      <c r="K48" s="50">
        <f t="shared" si="7"/>
        <v>0</v>
      </c>
      <c r="L48" s="50">
        <f t="shared" si="8"/>
        <v>0</v>
      </c>
      <c r="M48" s="51">
        <f t="shared" si="9"/>
        <v>0</v>
      </c>
    </row>
    <row r="49" spans="1:24" ht="14.4" x14ac:dyDescent="0.3">
      <c r="A49" s="117" t="s">
        <v>325</v>
      </c>
      <c r="B49" s="116" t="s">
        <v>331</v>
      </c>
      <c r="C49" s="58">
        <f t="shared" si="5"/>
        <v>0</v>
      </c>
      <c r="D49" s="118"/>
      <c r="E49" s="119"/>
      <c r="F49" s="119"/>
      <c r="G49" s="120">
        <v>2030</v>
      </c>
      <c r="H49" s="120" t="s">
        <v>327</v>
      </c>
      <c r="I49" s="60">
        <f t="shared" si="6"/>
        <v>0</v>
      </c>
      <c r="J49" s="56">
        <v>2033</v>
      </c>
      <c r="K49" s="50">
        <f t="shared" si="7"/>
        <v>0</v>
      </c>
      <c r="L49" s="50">
        <f t="shared" si="8"/>
        <v>0</v>
      </c>
      <c r="M49" s="51">
        <f t="shared" si="9"/>
        <v>0</v>
      </c>
    </row>
    <row r="50" spans="1:24" ht="14.4" x14ac:dyDescent="0.3">
      <c r="A50" s="117" t="s">
        <v>320</v>
      </c>
      <c r="B50" s="113" t="s">
        <v>332</v>
      </c>
      <c r="C50" s="58">
        <f t="shared" si="5"/>
        <v>0</v>
      </c>
      <c r="D50" s="118"/>
      <c r="E50" s="119"/>
      <c r="F50" s="119"/>
      <c r="G50" s="120">
        <v>2030</v>
      </c>
      <c r="H50" s="120" t="s">
        <v>329</v>
      </c>
      <c r="I50" s="60">
        <f t="shared" si="6"/>
        <v>0</v>
      </c>
      <c r="J50" s="56">
        <v>2034</v>
      </c>
      <c r="K50" s="50">
        <f t="shared" si="7"/>
        <v>0</v>
      </c>
      <c r="L50" s="50">
        <f t="shared" si="8"/>
        <v>0</v>
      </c>
      <c r="M50" s="51">
        <f t="shared" si="9"/>
        <v>0</v>
      </c>
    </row>
    <row r="51" spans="1:24" ht="14.4" x14ac:dyDescent="0.3">
      <c r="A51" s="117" t="s">
        <v>320</v>
      </c>
      <c r="B51" s="116" t="s">
        <v>333</v>
      </c>
      <c r="C51" s="58">
        <f t="shared" si="5"/>
        <v>0</v>
      </c>
      <c r="D51" s="118"/>
      <c r="E51" s="119"/>
      <c r="F51" s="119"/>
      <c r="G51" s="120">
        <v>2031</v>
      </c>
      <c r="H51" s="120" t="s">
        <v>324</v>
      </c>
      <c r="I51" s="60">
        <f t="shared" si="6"/>
        <v>0</v>
      </c>
      <c r="J51" s="57">
        <v>2035</v>
      </c>
      <c r="K51" s="52">
        <f t="shared" si="7"/>
        <v>0</v>
      </c>
      <c r="L51" s="52">
        <f t="shared" si="8"/>
        <v>0</v>
      </c>
      <c r="M51" s="51">
        <f t="shared" si="9"/>
        <v>0</v>
      </c>
    </row>
    <row r="52" spans="1:24" thickBot="1" x14ac:dyDescent="0.35">
      <c r="A52" s="117" t="s">
        <v>325</v>
      </c>
      <c r="B52" s="116" t="s">
        <v>334</v>
      </c>
      <c r="C52" s="58">
        <f t="shared" si="5"/>
        <v>0</v>
      </c>
      <c r="D52" s="118"/>
      <c r="E52" s="119"/>
      <c r="F52" s="119"/>
      <c r="G52" s="120">
        <v>2031</v>
      </c>
      <c r="H52" s="120" t="s">
        <v>327</v>
      </c>
      <c r="I52" s="60">
        <f t="shared" si="6"/>
        <v>0</v>
      </c>
      <c r="J52" s="39" t="s">
        <v>319</v>
      </c>
      <c r="K52" s="53">
        <f>SUM(K44:K51)</f>
        <v>0</v>
      </c>
      <c r="L52" s="53">
        <f>SUM(L44:L51)</f>
        <v>0</v>
      </c>
      <c r="M52" s="40">
        <f>SUM(M44:M51)</f>
        <v>0</v>
      </c>
    </row>
    <row r="53" spans="1:24" ht="14.4" x14ac:dyDescent="0.3">
      <c r="A53" s="117" t="s">
        <v>325</v>
      </c>
      <c r="B53" s="113" t="s">
        <v>335</v>
      </c>
      <c r="C53" s="58">
        <f t="shared" si="5"/>
        <v>0</v>
      </c>
      <c r="D53" s="118"/>
      <c r="E53" s="119"/>
      <c r="F53" s="119"/>
      <c r="G53" s="120">
        <v>2032</v>
      </c>
      <c r="H53" s="120" t="s">
        <v>324</v>
      </c>
      <c r="I53" s="50">
        <f t="shared" si="6"/>
        <v>0</v>
      </c>
      <c r="M53" s="43"/>
    </row>
    <row r="54" spans="1:24" ht="14.4" x14ac:dyDescent="0.3">
      <c r="A54" s="117" t="s">
        <v>325</v>
      </c>
      <c r="B54" s="113" t="s">
        <v>336</v>
      </c>
      <c r="C54" s="58">
        <f t="shared" si="5"/>
        <v>0</v>
      </c>
      <c r="D54" s="118"/>
      <c r="E54" s="119"/>
      <c r="F54" s="119"/>
      <c r="G54" s="120">
        <v>2033</v>
      </c>
      <c r="H54" s="120" t="s">
        <v>322</v>
      </c>
      <c r="I54" s="50">
        <f t="shared" si="6"/>
        <v>0</v>
      </c>
      <c r="M54" s="29"/>
    </row>
    <row r="55" spans="1:24" ht="14.4" x14ac:dyDescent="0.3">
      <c r="A55" s="117" t="s">
        <v>325</v>
      </c>
      <c r="B55" s="113" t="s">
        <v>337</v>
      </c>
      <c r="C55" s="58">
        <f t="shared" si="5"/>
        <v>0</v>
      </c>
      <c r="D55" s="118"/>
      <c r="E55" s="119"/>
      <c r="F55" s="119"/>
      <c r="G55" s="120">
        <v>2034</v>
      </c>
      <c r="H55" s="120" t="s">
        <v>327</v>
      </c>
      <c r="I55" s="50">
        <f t="shared" si="6"/>
        <v>0</v>
      </c>
      <c r="M55" s="29"/>
    </row>
    <row r="56" spans="1:24" ht="14.4" x14ac:dyDescent="0.3">
      <c r="A56" s="117" t="s">
        <v>325</v>
      </c>
      <c r="B56" s="123" t="s">
        <v>338</v>
      </c>
      <c r="C56" s="58">
        <f t="shared" si="5"/>
        <v>0</v>
      </c>
      <c r="D56" s="118"/>
      <c r="E56" s="119"/>
      <c r="F56" s="119"/>
      <c r="G56" s="120">
        <v>2034</v>
      </c>
      <c r="H56" s="120" t="s">
        <v>322</v>
      </c>
      <c r="I56" s="50">
        <f t="shared" si="6"/>
        <v>0</v>
      </c>
      <c r="M56" s="29"/>
    </row>
    <row r="57" spans="1:24" thickBot="1" x14ac:dyDescent="0.35">
      <c r="A57" s="30"/>
      <c r="B57" s="44" t="s">
        <v>283</v>
      </c>
      <c r="C57" s="55">
        <f>SUM(C44:C56)</f>
        <v>0</v>
      </c>
      <c r="D57" s="59">
        <f>SUM(D44:D56)</f>
        <v>0</v>
      </c>
      <c r="E57" s="45"/>
      <c r="F57" s="45"/>
      <c r="G57" s="45"/>
      <c r="H57" s="45"/>
      <c r="I57" s="55">
        <f>SUM(I44:I56)</f>
        <v>0</v>
      </c>
      <c r="J57" s="46"/>
      <c r="K57" s="31"/>
      <c r="L57" s="31"/>
      <c r="M57" s="32"/>
    </row>
    <row r="58" spans="1:24" ht="14.4" x14ac:dyDescent="0.3">
      <c r="B58" s="63" t="str">
        <f>IF(N($C$27)=0,"",IF(ABS($D$57-1)&gt;=0.00005,"CHECK: shares add up to "&amp;FIXED(($D$57)*100,1)&amp;"%"&amp;", must be 100%",IF(SUMPRODUCT(($C$44:$C$56&gt;0)*(($G$44:$G$56&lt;2028)+($G$44:$G$56&gt;2035)&gt;0))&gt;0,"CHECK: a row with a share has no year between 2028 and 2035","OK: shares 100%, years complete")))</f>
        <v/>
      </c>
      <c r="E58" s="2"/>
      <c r="F58" s="2"/>
      <c r="G58" s="2"/>
      <c r="H58" s="2"/>
      <c r="J58" s="26"/>
    </row>
    <row r="59" spans="1:24" thickBot="1" x14ac:dyDescent="0.35">
      <c r="E59" s="2"/>
      <c r="F59" s="2"/>
      <c r="G59" s="2"/>
      <c r="H59" s="2"/>
      <c r="J59" s="26"/>
    </row>
    <row r="60" spans="1:24" ht="15.65" thickBot="1" x14ac:dyDescent="0.35">
      <c r="A60" s="47" t="s">
        <v>308</v>
      </c>
      <c r="B60" s="48" t="str">
        <f>B28</f>
        <v>Measure 2</v>
      </c>
      <c r="C60" s="28"/>
      <c r="D60" s="28"/>
      <c r="E60" s="150" t="s">
        <v>309</v>
      </c>
      <c r="F60" s="150"/>
      <c r="G60" s="150"/>
      <c r="H60" s="150"/>
      <c r="I60" s="28"/>
      <c r="J60" s="151" t="s">
        <v>310</v>
      </c>
      <c r="K60" s="152"/>
      <c r="L60" s="152"/>
      <c r="M60" s="153"/>
      <c r="O60" s="48" t="str">
        <f>B60</f>
        <v>Measure 2</v>
      </c>
    </row>
    <row r="61" spans="1:24" ht="30.05" x14ac:dyDescent="0.3">
      <c r="A61" s="49">
        <f>D28</f>
        <v>0</v>
      </c>
      <c r="B61" s="22" t="s">
        <v>311</v>
      </c>
      <c r="C61" s="6" t="s">
        <v>284</v>
      </c>
      <c r="D61" s="6" t="s">
        <v>312</v>
      </c>
      <c r="E61" s="6" t="s">
        <v>313</v>
      </c>
      <c r="F61" s="6" t="s">
        <v>314</v>
      </c>
      <c r="G61" s="6" t="s">
        <v>315</v>
      </c>
      <c r="H61" s="6" t="s">
        <v>316</v>
      </c>
      <c r="I61" s="36" t="s">
        <v>285</v>
      </c>
      <c r="J61" s="37" t="s">
        <v>317</v>
      </c>
      <c r="K61" s="6" t="s">
        <v>284</v>
      </c>
      <c r="L61" s="6" t="s">
        <v>285</v>
      </c>
      <c r="M61" s="38" t="s">
        <v>318</v>
      </c>
      <c r="O61" s="71" t="s">
        <v>317</v>
      </c>
      <c r="P61" s="72">
        <v>2028</v>
      </c>
      <c r="Q61" s="72">
        <v>2029</v>
      </c>
      <c r="R61" s="72">
        <v>2030</v>
      </c>
      <c r="S61" s="72">
        <v>2031</v>
      </c>
      <c r="T61" s="72">
        <v>2032</v>
      </c>
      <c r="U61" s="72">
        <v>2033</v>
      </c>
      <c r="V61" s="72">
        <v>2034</v>
      </c>
      <c r="W61" s="72">
        <v>2035</v>
      </c>
      <c r="X61" s="73" t="s">
        <v>319</v>
      </c>
    </row>
    <row r="62" spans="1:24" x14ac:dyDescent="0.3">
      <c r="A62" s="117" t="s">
        <v>320</v>
      </c>
      <c r="B62" s="116" t="s">
        <v>321</v>
      </c>
      <c r="C62" s="58">
        <f t="shared" ref="C62:C74" si="13">$A$61*D62</f>
        <v>0</v>
      </c>
      <c r="D62" s="118"/>
      <c r="E62" s="119"/>
      <c r="F62" s="119"/>
      <c r="G62" s="120">
        <v>2028</v>
      </c>
      <c r="H62" s="120" t="s">
        <v>322</v>
      </c>
      <c r="I62" s="60">
        <f t="shared" ref="I62:I74" si="14">C62*$E$19</f>
        <v>0</v>
      </c>
      <c r="J62" s="56">
        <v>2028</v>
      </c>
      <c r="K62" s="50">
        <f t="shared" ref="K62:K69" si="15">SUMIF($G$62:$G$74,J62,$C$62:$C$74)</f>
        <v>0</v>
      </c>
      <c r="L62" s="50">
        <f t="shared" ref="L62:L69" si="16">SUMIF($G$62:$G$74,J62,$I$62:$I$74)</f>
        <v>0</v>
      </c>
      <c r="M62" s="54">
        <f t="shared" ref="M62:M69" si="17">SUM(K62:L62)</f>
        <v>0</v>
      </c>
      <c r="O62" s="37" t="s">
        <v>284</v>
      </c>
      <c r="P62" s="50">
        <f t="shared" ref="P62:W62" si="18">SUMIF($G$62:$G$74,P61,$C$62:$C$74)</f>
        <v>0</v>
      </c>
      <c r="Q62" s="50">
        <f t="shared" si="18"/>
        <v>0</v>
      </c>
      <c r="R62" s="50">
        <f t="shared" si="18"/>
        <v>0</v>
      </c>
      <c r="S62" s="50">
        <f t="shared" si="18"/>
        <v>0</v>
      </c>
      <c r="T62" s="50">
        <f t="shared" si="18"/>
        <v>0</v>
      </c>
      <c r="U62" s="50">
        <f t="shared" si="18"/>
        <v>0</v>
      </c>
      <c r="V62" s="50">
        <f t="shared" si="18"/>
        <v>0</v>
      </c>
      <c r="W62" s="50">
        <f t="shared" si="18"/>
        <v>0</v>
      </c>
      <c r="X62" s="78">
        <f>SUM(P62:W62)</f>
        <v>0</v>
      </c>
    </row>
    <row r="63" spans="1:24" x14ac:dyDescent="0.3">
      <c r="A63" s="117" t="s">
        <v>320</v>
      </c>
      <c r="B63" s="116" t="s">
        <v>323</v>
      </c>
      <c r="C63" s="58">
        <f t="shared" si="13"/>
        <v>0</v>
      </c>
      <c r="D63" s="118"/>
      <c r="E63" s="119"/>
      <c r="F63" s="119"/>
      <c r="G63" s="120">
        <v>2029</v>
      </c>
      <c r="H63" s="120" t="s">
        <v>324</v>
      </c>
      <c r="I63" s="60">
        <f t="shared" si="14"/>
        <v>0</v>
      </c>
      <c r="J63" s="56">
        <v>2029</v>
      </c>
      <c r="K63" s="50">
        <f t="shared" si="15"/>
        <v>0</v>
      </c>
      <c r="L63" s="50">
        <f t="shared" si="16"/>
        <v>0</v>
      </c>
      <c r="M63" s="54">
        <f t="shared" si="17"/>
        <v>0</v>
      </c>
      <c r="O63" s="37" t="s">
        <v>285</v>
      </c>
      <c r="P63" s="50">
        <f t="shared" ref="P63:W63" si="19">SUMIF($G$62:$G$74,P61,$I$62:$I$74)</f>
        <v>0</v>
      </c>
      <c r="Q63" s="50">
        <f t="shared" si="19"/>
        <v>0</v>
      </c>
      <c r="R63" s="50">
        <f t="shared" si="19"/>
        <v>0</v>
      </c>
      <c r="S63" s="50">
        <f t="shared" si="19"/>
        <v>0</v>
      </c>
      <c r="T63" s="50">
        <f t="shared" si="19"/>
        <v>0</v>
      </c>
      <c r="U63" s="50">
        <f t="shared" si="19"/>
        <v>0</v>
      </c>
      <c r="V63" s="50">
        <f t="shared" si="19"/>
        <v>0</v>
      </c>
      <c r="W63" s="50">
        <f t="shared" si="19"/>
        <v>0</v>
      </c>
      <c r="X63" s="78">
        <f>SUM(P63:W63)</f>
        <v>0</v>
      </c>
    </row>
    <row r="64" spans="1:24" ht="30.7" thickBot="1" x14ac:dyDescent="0.35">
      <c r="A64" s="117" t="s">
        <v>325</v>
      </c>
      <c r="B64" s="116" t="s">
        <v>326</v>
      </c>
      <c r="C64" s="58">
        <f t="shared" si="13"/>
        <v>0</v>
      </c>
      <c r="D64" s="118"/>
      <c r="E64" s="119"/>
      <c r="F64" s="119"/>
      <c r="G64" s="120">
        <v>2029</v>
      </c>
      <c r="H64" s="120" t="s">
        <v>327</v>
      </c>
      <c r="I64" s="60">
        <f t="shared" si="14"/>
        <v>0</v>
      </c>
      <c r="J64" s="56">
        <v>2030</v>
      </c>
      <c r="K64" s="50">
        <f t="shared" si="15"/>
        <v>0</v>
      </c>
      <c r="L64" s="50">
        <f t="shared" si="16"/>
        <v>0</v>
      </c>
      <c r="M64" s="54">
        <f t="shared" si="17"/>
        <v>0</v>
      </c>
      <c r="O64" s="75" t="s">
        <v>318</v>
      </c>
      <c r="P64" s="79">
        <f t="shared" ref="P64:W64" si="20">SUM(P62:P63)</f>
        <v>0</v>
      </c>
      <c r="Q64" s="79">
        <f t="shared" si="20"/>
        <v>0</v>
      </c>
      <c r="R64" s="79">
        <f t="shared" si="20"/>
        <v>0</v>
      </c>
      <c r="S64" s="79">
        <f t="shared" si="20"/>
        <v>0</v>
      </c>
      <c r="T64" s="79">
        <f t="shared" si="20"/>
        <v>0</v>
      </c>
      <c r="U64" s="79">
        <f t="shared" si="20"/>
        <v>0</v>
      </c>
      <c r="V64" s="79">
        <f t="shared" si="20"/>
        <v>0</v>
      </c>
      <c r="W64" s="79">
        <f t="shared" si="20"/>
        <v>0</v>
      </c>
      <c r="X64" s="77">
        <f>SUM(P64:W64)</f>
        <v>0</v>
      </c>
    </row>
    <row r="65" spans="1:24" ht="14.4" x14ac:dyDescent="0.3">
      <c r="A65" s="117" t="s">
        <v>320</v>
      </c>
      <c r="B65" s="116" t="s">
        <v>328</v>
      </c>
      <c r="C65" s="58">
        <f t="shared" si="13"/>
        <v>0</v>
      </c>
      <c r="D65" s="118"/>
      <c r="E65" s="119"/>
      <c r="F65" s="119"/>
      <c r="G65" s="120">
        <v>2029</v>
      </c>
      <c r="H65" s="120" t="s">
        <v>329</v>
      </c>
      <c r="I65" s="60">
        <f t="shared" si="14"/>
        <v>0</v>
      </c>
      <c r="J65" s="56">
        <v>2031</v>
      </c>
      <c r="K65" s="50">
        <f t="shared" si="15"/>
        <v>0</v>
      </c>
      <c r="L65" s="50">
        <f t="shared" si="16"/>
        <v>0</v>
      </c>
      <c r="M65" s="54">
        <f t="shared" si="17"/>
        <v>0</v>
      </c>
    </row>
    <row r="66" spans="1:24" ht="14.4" x14ac:dyDescent="0.3">
      <c r="A66" s="117" t="s">
        <v>320</v>
      </c>
      <c r="B66" s="116" t="s">
        <v>330</v>
      </c>
      <c r="C66" s="58">
        <f t="shared" si="13"/>
        <v>0</v>
      </c>
      <c r="D66" s="118"/>
      <c r="E66" s="119"/>
      <c r="F66" s="119"/>
      <c r="G66" s="120">
        <v>2030</v>
      </c>
      <c r="H66" s="120" t="s">
        <v>324</v>
      </c>
      <c r="I66" s="60">
        <f t="shared" si="14"/>
        <v>0</v>
      </c>
      <c r="J66" s="56">
        <v>2032</v>
      </c>
      <c r="K66" s="50">
        <f t="shared" si="15"/>
        <v>0</v>
      </c>
      <c r="L66" s="50">
        <f t="shared" si="16"/>
        <v>0</v>
      </c>
      <c r="M66" s="54">
        <f t="shared" si="17"/>
        <v>0</v>
      </c>
    </row>
    <row r="67" spans="1:24" ht="14.4" x14ac:dyDescent="0.3">
      <c r="A67" s="117" t="s">
        <v>325</v>
      </c>
      <c r="B67" s="116" t="s">
        <v>331</v>
      </c>
      <c r="C67" s="58">
        <f t="shared" si="13"/>
        <v>0</v>
      </c>
      <c r="D67" s="118"/>
      <c r="E67" s="119"/>
      <c r="F67" s="119"/>
      <c r="G67" s="120">
        <v>2030</v>
      </c>
      <c r="H67" s="120" t="s">
        <v>327</v>
      </c>
      <c r="I67" s="60">
        <f t="shared" si="14"/>
        <v>0</v>
      </c>
      <c r="J67" s="56">
        <v>2033</v>
      </c>
      <c r="K67" s="50">
        <f t="shared" si="15"/>
        <v>0</v>
      </c>
      <c r="L67" s="50">
        <f t="shared" si="16"/>
        <v>0</v>
      </c>
      <c r="M67" s="54">
        <f t="shared" si="17"/>
        <v>0</v>
      </c>
    </row>
    <row r="68" spans="1:24" ht="14.4" x14ac:dyDescent="0.3">
      <c r="A68" s="117" t="s">
        <v>320</v>
      </c>
      <c r="B68" s="113" t="s">
        <v>332</v>
      </c>
      <c r="C68" s="58">
        <f t="shared" si="13"/>
        <v>0</v>
      </c>
      <c r="D68" s="118"/>
      <c r="E68" s="119"/>
      <c r="F68" s="119"/>
      <c r="G68" s="120">
        <v>2030</v>
      </c>
      <c r="H68" s="120" t="s">
        <v>329</v>
      </c>
      <c r="I68" s="60">
        <f t="shared" si="14"/>
        <v>0</v>
      </c>
      <c r="J68" s="56">
        <v>2034</v>
      </c>
      <c r="K68" s="50">
        <f t="shared" si="15"/>
        <v>0</v>
      </c>
      <c r="L68" s="50">
        <f t="shared" si="16"/>
        <v>0</v>
      </c>
      <c r="M68" s="54">
        <f t="shared" si="17"/>
        <v>0</v>
      </c>
    </row>
    <row r="69" spans="1:24" ht="14.4" x14ac:dyDescent="0.3">
      <c r="A69" s="117" t="s">
        <v>320</v>
      </c>
      <c r="B69" s="116" t="s">
        <v>333</v>
      </c>
      <c r="C69" s="58">
        <f t="shared" si="13"/>
        <v>0</v>
      </c>
      <c r="D69" s="118"/>
      <c r="E69" s="119"/>
      <c r="F69" s="119"/>
      <c r="G69" s="120">
        <v>2031</v>
      </c>
      <c r="H69" s="120" t="s">
        <v>324</v>
      </c>
      <c r="I69" s="60">
        <f t="shared" si="14"/>
        <v>0</v>
      </c>
      <c r="J69" s="57">
        <v>2035</v>
      </c>
      <c r="K69" s="52">
        <f t="shared" si="15"/>
        <v>0</v>
      </c>
      <c r="L69" s="52">
        <f t="shared" si="16"/>
        <v>0</v>
      </c>
      <c r="M69" s="54">
        <f t="shared" si="17"/>
        <v>0</v>
      </c>
    </row>
    <row r="70" spans="1:24" thickBot="1" x14ac:dyDescent="0.35">
      <c r="A70" s="117" t="s">
        <v>325</v>
      </c>
      <c r="B70" s="116" t="s">
        <v>334</v>
      </c>
      <c r="C70" s="58">
        <f t="shared" si="13"/>
        <v>0</v>
      </c>
      <c r="D70" s="118"/>
      <c r="E70" s="119"/>
      <c r="F70" s="119"/>
      <c r="G70" s="120">
        <v>2031</v>
      </c>
      <c r="H70" s="120" t="s">
        <v>327</v>
      </c>
      <c r="I70" s="60">
        <f t="shared" si="14"/>
        <v>0</v>
      </c>
      <c r="J70" s="39" t="s">
        <v>319</v>
      </c>
      <c r="K70" s="55">
        <f>SUM(K62:K69)</f>
        <v>0</v>
      </c>
      <c r="L70" s="55">
        <f>SUM(L62:L69)</f>
        <v>0</v>
      </c>
      <c r="M70" s="40">
        <f>SUM(M62:M69)</f>
        <v>0</v>
      </c>
    </row>
    <row r="71" spans="1:24" ht="14.4" x14ac:dyDescent="0.3">
      <c r="A71" s="117" t="s">
        <v>325</v>
      </c>
      <c r="B71" s="113" t="s">
        <v>335</v>
      </c>
      <c r="C71" s="58">
        <f t="shared" si="13"/>
        <v>0</v>
      </c>
      <c r="D71" s="118"/>
      <c r="E71" s="119"/>
      <c r="F71" s="119"/>
      <c r="G71" s="120">
        <v>2032</v>
      </c>
      <c r="H71" s="120" t="s">
        <v>324</v>
      </c>
      <c r="I71" s="50">
        <f t="shared" si="14"/>
        <v>0</v>
      </c>
      <c r="J71" s="26"/>
      <c r="M71" s="29"/>
      <c r="N71" s="25"/>
    </row>
    <row r="72" spans="1:24" ht="14.4" x14ac:dyDescent="0.3">
      <c r="A72" s="117" t="s">
        <v>325</v>
      </c>
      <c r="B72" s="113" t="s">
        <v>339</v>
      </c>
      <c r="C72" s="58">
        <f t="shared" si="13"/>
        <v>0</v>
      </c>
      <c r="D72" s="118"/>
      <c r="E72" s="119"/>
      <c r="F72" s="119"/>
      <c r="G72" s="120">
        <v>2033</v>
      </c>
      <c r="H72" s="120" t="s">
        <v>322</v>
      </c>
      <c r="I72" s="50">
        <f t="shared" si="14"/>
        <v>0</v>
      </c>
      <c r="J72" s="26"/>
      <c r="M72" s="29"/>
    </row>
    <row r="73" spans="1:24" ht="14.4" x14ac:dyDescent="0.3">
      <c r="A73" s="117" t="s">
        <v>325</v>
      </c>
      <c r="B73" s="113" t="s">
        <v>337</v>
      </c>
      <c r="C73" s="58">
        <f t="shared" si="13"/>
        <v>0</v>
      </c>
      <c r="D73" s="118"/>
      <c r="E73" s="119"/>
      <c r="F73" s="119"/>
      <c r="G73" s="120">
        <v>2033</v>
      </c>
      <c r="H73" s="120" t="s">
        <v>327</v>
      </c>
      <c r="I73" s="50">
        <f t="shared" si="14"/>
        <v>0</v>
      </c>
      <c r="J73" s="26"/>
      <c r="M73" s="29"/>
    </row>
    <row r="74" spans="1:24" ht="14.4" x14ac:dyDescent="0.3">
      <c r="A74" s="117" t="s">
        <v>325</v>
      </c>
      <c r="B74" s="123" t="s">
        <v>338</v>
      </c>
      <c r="C74" s="58">
        <f t="shared" si="13"/>
        <v>0</v>
      </c>
      <c r="D74" s="118"/>
      <c r="E74" s="119"/>
      <c r="F74" s="119"/>
      <c r="G74" s="120">
        <v>2034</v>
      </c>
      <c r="H74" s="120" t="s">
        <v>322</v>
      </c>
      <c r="I74" s="50">
        <f t="shared" si="14"/>
        <v>0</v>
      </c>
      <c r="J74" s="26"/>
      <c r="M74" s="29"/>
    </row>
    <row r="75" spans="1:24" thickBot="1" x14ac:dyDescent="0.35">
      <c r="A75" s="30"/>
      <c r="B75" s="31"/>
      <c r="C75" s="55">
        <f>SUM(C62:C74)</f>
        <v>0</v>
      </c>
      <c r="D75" s="59">
        <f>SUM(D62:D74)</f>
        <v>0</v>
      </c>
      <c r="E75" s="45"/>
      <c r="F75" s="45"/>
      <c r="G75" s="45"/>
      <c r="H75" s="45"/>
      <c r="I75" s="55">
        <f>SUM(I62:I74)</f>
        <v>0</v>
      </c>
      <c r="J75" s="46"/>
      <c r="K75" s="31"/>
      <c r="L75" s="31"/>
      <c r="M75" s="32"/>
    </row>
    <row r="76" spans="1:24" ht="14.4" x14ac:dyDescent="0.3">
      <c r="B76" s="63" t="str">
        <f>IF(N($C$28)=0,"",IF(ABS($D$75-1)&gt;=0.00005,"CHECK: shares add up to "&amp;FIXED(($D$75)*100,1)&amp;"%"&amp;", must be 100%",IF(SUMPRODUCT(($C$62:$C$74&gt;0)*(($G$62:$G$74&lt;2028)+($G$62:$G$74&gt;2035)&gt;0))&gt;0,"CHECK: a row with a share has no year between 2028 and 2035","OK: shares 100%, years complete")))</f>
        <v/>
      </c>
      <c r="E76" s="2"/>
      <c r="F76" s="2"/>
      <c r="G76" s="2"/>
      <c r="H76" s="2"/>
      <c r="J76" s="26"/>
    </row>
    <row r="77" spans="1:24" thickBot="1" x14ac:dyDescent="0.35">
      <c r="E77" s="2"/>
      <c r="F77" s="2"/>
      <c r="G77" s="2"/>
      <c r="H77" s="2"/>
      <c r="J77" s="26"/>
    </row>
    <row r="78" spans="1:24" ht="15.65" thickBot="1" x14ac:dyDescent="0.35">
      <c r="A78" s="47" t="s">
        <v>308</v>
      </c>
      <c r="B78" s="48" t="str">
        <f>B29</f>
        <v>Measure 3</v>
      </c>
      <c r="C78" s="28"/>
      <c r="D78" s="28"/>
      <c r="E78" s="150" t="s">
        <v>309</v>
      </c>
      <c r="F78" s="150"/>
      <c r="G78" s="150"/>
      <c r="H78" s="150"/>
      <c r="I78" s="28"/>
      <c r="J78" s="151" t="s">
        <v>310</v>
      </c>
      <c r="K78" s="152"/>
      <c r="L78" s="152"/>
      <c r="M78" s="153"/>
      <c r="O78" s="48" t="str">
        <f>B78</f>
        <v>Measure 3</v>
      </c>
    </row>
    <row r="79" spans="1:24" ht="30.05" x14ac:dyDescent="0.3">
      <c r="A79" s="49">
        <f>D29</f>
        <v>0</v>
      </c>
      <c r="B79" s="22" t="s">
        <v>311</v>
      </c>
      <c r="C79" s="6" t="s">
        <v>284</v>
      </c>
      <c r="D79" s="6" t="s">
        <v>312</v>
      </c>
      <c r="E79" s="6" t="s">
        <v>313</v>
      </c>
      <c r="F79" s="6" t="s">
        <v>314</v>
      </c>
      <c r="G79" s="6" t="s">
        <v>315</v>
      </c>
      <c r="H79" s="6" t="s">
        <v>316</v>
      </c>
      <c r="I79" s="36" t="s">
        <v>285</v>
      </c>
      <c r="J79" s="37" t="s">
        <v>317</v>
      </c>
      <c r="K79" s="6" t="s">
        <v>284</v>
      </c>
      <c r="L79" s="6" t="s">
        <v>285</v>
      </c>
      <c r="M79" s="38" t="s">
        <v>318</v>
      </c>
      <c r="O79" s="71" t="s">
        <v>317</v>
      </c>
      <c r="P79" s="72">
        <v>2028</v>
      </c>
      <c r="Q79" s="72">
        <v>2029</v>
      </c>
      <c r="R79" s="72">
        <v>2030</v>
      </c>
      <c r="S79" s="72">
        <v>2031</v>
      </c>
      <c r="T79" s="72">
        <v>2032</v>
      </c>
      <c r="U79" s="72">
        <v>2033</v>
      </c>
      <c r="V79" s="72">
        <v>2034</v>
      </c>
      <c r="W79" s="72">
        <v>2035</v>
      </c>
      <c r="X79" s="73" t="s">
        <v>319</v>
      </c>
    </row>
    <row r="80" spans="1:24" x14ac:dyDescent="0.3">
      <c r="A80" s="117" t="s">
        <v>320</v>
      </c>
      <c r="B80" s="116" t="s">
        <v>321</v>
      </c>
      <c r="C80" s="58">
        <f t="shared" ref="C80:C92" si="21">$A$79*D80</f>
        <v>0</v>
      </c>
      <c r="D80" s="118"/>
      <c r="E80" s="119"/>
      <c r="F80" s="119"/>
      <c r="G80" s="120">
        <v>2028</v>
      </c>
      <c r="H80" s="120" t="s">
        <v>322</v>
      </c>
      <c r="I80" s="60">
        <f t="shared" ref="I80:I92" si="22">C80*$E$19</f>
        <v>0</v>
      </c>
      <c r="J80" s="56">
        <v>2028</v>
      </c>
      <c r="K80" s="50">
        <f t="shared" ref="K80:K87" si="23">SUMIF($G$80:$G$92,J80,$C$80:$C$92)</f>
        <v>0</v>
      </c>
      <c r="L80" s="50">
        <f t="shared" ref="L80:L87" si="24">SUMIF($G$80:$G$92,J80,$I$80:$I$92)</f>
        <v>0</v>
      </c>
      <c r="M80" s="54">
        <f t="shared" ref="M80:M87" si="25">SUM(K80:L80)</f>
        <v>0</v>
      </c>
      <c r="O80" s="37" t="s">
        <v>284</v>
      </c>
      <c r="P80" s="50">
        <f t="shared" ref="P80:W80" si="26">SUMIF($G$80:$G$92,P79,$C$80:$C$92)</f>
        <v>0</v>
      </c>
      <c r="Q80" s="50">
        <f t="shared" si="26"/>
        <v>0</v>
      </c>
      <c r="R80" s="50">
        <f t="shared" si="26"/>
        <v>0</v>
      </c>
      <c r="S80" s="50">
        <f t="shared" si="26"/>
        <v>0</v>
      </c>
      <c r="T80" s="50">
        <f t="shared" si="26"/>
        <v>0</v>
      </c>
      <c r="U80" s="50">
        <f t="shared" si="26"/>
        <v>0</v>
      </c>
      <c r="V80" s="50">
        <f t="shared" si="26"/>
        <v>0</v>
      </c>
      <c r="W80" s="50">
        <f t="shared" si="26"/>
        <v>0</v>
      </c>
      <c r="X80" s="78">
        <f>SUM(P80:W80)</f>
        <v>0</v>
      </c>
    </row>
    <row r="81" spans="1:24" x14ac:dyDescent="0.3">
      <c r="A81" s="117" t="s">
        <v>320</v>
      </c>
      <c r="B81" s="116" t="s">
        <v>323</v>
      </c>
      <c r="C81" s="58">
        <f t="shared" si="21"/>
        <v>0</v>
      </c>
      <c r="D81" s="118"/>
      <c r="E81" s="119"/>
      <c r="F81" s="119"/>
      <c r="G81" s="120">
        <v>2029</v>
      </c>
      <c r="H81" s="120" t="s">
        <v>324</v>
      </c>
      <c r="I81" s="60">
        <f t="shared" si="22"/>
        <v>0</v>
      </c>
      <c r="J81" s="56">
        <v>2029</v>
      </c>
      <c r="K81" s="50">
        <f t="shared" si="23"/>
        <v>0</v>
      </c>
      <c r="L81" s="50">
        <f t="shared" si="24"/>
        <v>0</v>
      </c>
      <c r="M81" s="54">
        <f t="shared" si="25"/>
        <v>0</v>
      </c>
      <c r="O81" s="37" t="s">
        <v>285</v>
      </c>
      <c r="P81" s="50">
        <f t="shared" ref="P81:W81" si="27">SUMIF($G$80:$G$92,P79,$I$80:$I$92)</f>
        <v>0</v>
      </c>
      <c r="Q81" s="50">
        <f t="shared" si="27"/>
        <v>0</v>
      </c>
      <c r="R81" s="50">
        <f t="shared" si="27"/>
        <v>0</v>
      </c>
      <c r="S81" s="50">
        <f t="shared" si="27"/>
        <v>0</v>
      </c>
      <c r="T81" s="50">
        <f t="shared" si="27"/>
        <v>0</v>
      </c>
      <c r="U81" s="50">
        <f t="shared" si="27"/>
        <v>0</v>
      </c>
      <c r="V81" s="50">
        <f t="shared" si="27"/>
        <v>0</v>
      </c>
      <c r="W81" s="50">
        <f t="shared" si="27"/>
        <v>0</v>
      </c>
      <c r="X81" s="78">
        <f>SUM(P81:W81)</f>
        <v>0</v>
      </c>
    </row>
    <row r="82" spans="1:24" ht="30.7" thickBot="1" x14ac:dyDescent="0.35">
      <c r="A82" s="117" t="s">
        <v>325</v>
      </c>
      <c r="B82" s="116" t="s">
        <v>326</v>
      </c>
      <c r="C82" s="58">
        <f t="shared" si="21"/>
        <v>0</v>
      </c>
      <c r="D82" s="118"/>
      <c r="E82" s="119"/>
      <c r="F82" s="119"/>
      <c r="G82" s="120">
        <v>2029</v>
      </c>
      <c r="H82" s="120" t="s">
        <v>327</v>
      </c>
      <c r="I82" s="60">
        <f t="shared" si="22"/>
        <v>0</v>
      </c>
      <c r="J82" s="56">
        <v>2030</v>
      </c>
      <c r="K82" s="50">
        <f t="shared" si="23"/>
        <v>0</v>
      </c>
      <c r="L82" s="50">
        <f t="shared" si="24"/>
        <v>0</v>
      </c>
      <c r="M82" s="54">
        <f t="shared" si="25"/>
        <v>0</v>
      </c>
      <c r="O82" s="75" t="s">
        <v>318</v>
      </c>
      <c r="P82" s="79">
        <f t="shared" ref="P82:W82" si="28">SUM(P80:P81)</f>
        <v>0</v>
      </c>
      <c r="Q82" s="79">
        <f t="shared" si="28"/>
        <v>0</v>
      </c>
      <c r="R82" s="79">
        <f t="shared" si="28"/>
        <v>0</v>
      </c>
      <c r="S82" s="79">
        <f t="shared" si="28"/>
        <v>0</v>
      </c>
      <c r="T82" s="79">
        <f t="shared" si="28"/>
        <v>0</v>
      </c>
      <c r="U82" s="79">
        <f t="shared" si="28"/>
        <v>0</v>
      </c>
      <c r="V82" s="79">
        <f t="shared" si="28"/>
        <v>0</v>
      </c>
      <c r="W82" s="79">
        <f t="shared" si="28"/>
        <v>0</v>
      </c>
      <c r="X82" s="77">
        <f>SUM(P82:W82)</f>
        <v>0</v>
      </c>
    </row>
    <row r="83" spans="1:24" ht="14.4" x14ac:dyDescent="0.3">
      <c r="A83" s="117" t="s">
        <v>320</v>
      </c>
      <c r="B83" s="116" t="s">
        <v>328</v>
      </c>
      <c r="C83" s="58">
        <f t="shared" si="21"/>
        <v>0</v>
      </c>
      <c r="D83" s="118"/>
      <c r="E83" s="119"/>
      <c r="F83" s="119"/>
      <c r="G83" s="120">
        <v>2029</v>
      </c>
      <c r="H83" s="120" t="s">
        <v>329</v>
      </c>
      <c r="I83" s="60">
        <f t="shared" si="22"/>
        <v>0</v>
      </c>
      <c r="J83" s="56">
        <v>2031</v>
      </c>
      <c r="K83" s="50">
        <f t="shared" si="23"/>
        <v>0</v>
      </c>
      <c r="L83" s="50">
        <f t="shared" si="24"/>
        <v>0</v>
      </c>
      <c r="M83" s="54">
        <f t="shared" si="25"/>
        <v>0</v>
      </c>
    </row>
    <row r="84" spans="1:24" ht="14.4" x14ac:dyDescent="0.3">
      <c r="A84" s="117" t="s">
        <v>320</v>
      </c>
      <c r="B84" s="116" t="s">
        <v>330</v>
      </c>
      <c r="C84" s="58">
        <f t="shared" si="21"/>
        <v>0</v>
      </c>
      <c r="D84" s="118"/>
      <c r="E84" s="119"/>
      <c r="F84" s="119"/>
      <c r="G84" s="120">
        <v>2030</v>
      </c>
      <c r="H84" s="120" t="s">
        <v>324</v>
      </c>
      <c r="I84" s="60">
        <f t="shared" si="22"/>
        <v>0</v>
      </c>
      <c r="J84" s="56">
        <v>2032</v>
      </c>
      <c r="K84" s="50">
        <f t="shared" si="23"/>
        <v>0</v>
      </c>
      <c r="L84" s="50">
        <f t="shared" si="24"/>
        <v>0</v>
      </c>
      <c r="M84" s="54">
        <f t="shared" si="25"/>
        <v>0</v>
      </c>
    </row>
    <row r="85" spans="1:24" ht="14.4" x14ac:dyDescent="0.3">
      <c r="A85" s="117" t="s">
        <v>325</v>
      </c>
      <c r="B85" s="116" t="s">
        <v>331</v>
      </c>
      <c r="C85" s="58">
        <f t="shared" si="21"/>
        <v>0</v>
      </c>
      <c r="D85" s="118"/>
      <c r="E85" s="119"/>
      <c r="F85" s="119"/>
      <c r="G85" s="120">
        <v>2030</v>
      </c>
      <c r="H85" s="120" t="s">
        <v>327</v>
      </c>
      <c r="I85" s="60">
        <f t="shared" si="22"/>
        <v>0</v>
      </c>
      <c r="J85" s="56">
        <v>2033</v>
      </c>
      <c r="K85" s="50">
        <f t="shared" si="23"/>
        <v>0</v>
      </c>
      <c r="L85" s="50">
        <f t="shared" si="24"/>
        <v>0</v>
      </c>
      <c r="M85" s="54">
        <f t="shared" si="25"/>
        <v>0</v>
      </c>
    </row>
    <row r="86" spans="1:24" ht="14.4" x14ac:dyDescent="0.3">
      <c r="A86" s="117" t="s">
        <v>320</v>
      </c>
      <c r="B86" s="113" t="s">
        <v>332</v>
      </c>
      <c r="C86" s="58">
        <f t="shared" si="21"/>
        <v>0</v>
      </c>
      <c r="D86" s="118"/>
      <c r="E86" s="119"/>
      <c r="F86" s="119"/>
      <c r="G86" s="120">
        <v>2030</v>
      </c>
      <c r="H86" s="120" t="s">
        <v>329</v>
      </c>
      <c r="I86" s="60">
        <f t="shared" si="22"/>
        <v>0</v>
      </c>
      <c r="J86" s="56">
        <v>2034</v>
      </c>
      <c r="K86" s="50">
        <f t="shared" si="23"/>
        <v>0</v>
      </c>
      <c r="L86" s="50">
        <f t="shared" si="24"/>
        <v>0</v>
      </c>
      <c r="M86" s="54">
        <f t="shared" si="25"/>
        <v>0</v>
      </c>
    </row>
    <row r="87" spans="1:24" ht="14.4" x14ac:dyDescent="0.3">
      <c r="A87" s="117" t="s">
        <v>320</v>
      </c>
      <c r="B87" s="116" t="s">
        <v>333</v>
      </c>
      <c r="C87" s="58">
        <f t="shared" si="21"/>
        <v>0</v>
      </c>
      <c r="D87" s="118"/>
      <c r="E87" s="119"/>
      <c r="F87" s="119"/>
      <c r="G87" s="120">
        <v>2031</v>
      </c>
      <c r="H87" s="120" t="s">
        <v>324</v>
      </c>
      <c r="I87" s="60">
        <f t="shared" si="22"/>
        <v>0</v>
      </c>
      <c r="J87" s="57">
        <v>2035</v>
      </c>
      <c r="K87" s="50">
        <f t="shared" si="23"/>
        <v>0</v>
      </c>
      <c r="L87" s="50">
        <f t="shared" si="24"/>
        <v>0</v>
      </c>
      <c r="M87" s="54">
        <f t="shared" si="25"/>
        <v>0</v>
      </c>
    </row>
    <row r="88" spans="1:24" thickBot="1" x14ac:dyDescent="0.35">
      <c r="A88" s="117" t="s">
        <v>325</v>
      </c>
      <c r="B88" s="116" t="s">
        <v>334</v>
      </c>
      <c r="C88" s="58">
        <f t="shared" si="21"/>
        <v>0</v>
      </c>
      <c r="D88" s="118"/>
      <c r="E88" s="119"/>
      <c r="F88" s="119"/>
      <c r="G88" s="120">
        <v>2031</v>
      </c>
      <c r="H88" s="120" t="s">
        <v>327</v>
      </c>
      <c r="I88" s="60">
        <f t="shared" si="22"/>
        <v>0</v>
      </c>
      <c r="J88" s="39" t="s">
        <v>319</v>
      </c>
      <c r="K88" s="55">
        <f>SUM(K80:K87)</f>
        <v>0</v>
      </c>
      <c r="L88" s="55">
        <f>SUM(L80:L87)</f>
        <v>0</v>
      </c>
      <c r="M88" s="40">
        <f>SUM(M80:M87)</f>
        <v>0</v>
      </c>
    </row>
    <row r="89" spans="1:24" ht="14.4" x14ac:dyDescent="0.3">
      <c r="A89" s="117" t="s">
        <v>325</v>
      </c>
      <c r="B89" s="113" t="s">
        <v>335</v>
      </c>
      <c r="C89" s="58">
        <f t="shared" si="21"/>
        <v>0</v>
      </c>
      <c r="D89" s="118"/>
      <c r="E89" s="119"/>
      <c r="F89" s="119"/>
      <c r="G89" s="120">
        <v>2033</v>
      </c>
      <c r="H89" s="120" t="s">
        <v>324</v>
      </c>
      <c r="I89" s="50">
        <f t="shared" si="22"/>
        <v>0</v>
      </c>
      <c r="J89" s="26"/>
      <c r="M89" s="29"/>
      <c r="N89" s="25"/>
    </row>
    <row r="90" spans="1:24" ht="14.4" x14ac:dyDescent="0.3">
      <c r="A90" s="117" t="s">
        <v>325</v>
      </c>
      <c r="B90" s="113" t="s">
        <v>339</v>
      </c>
      <c r="C90" s="58">
        <f t="shared" si="21"/>
        <v>0</v>
      </c>
      <c r="D90" s="118"/>
      <c r="E90" s="119"/>
      <c r="F90" s="119"/>
      <c r="G90" s="120">
        <v>2033</v>
      </c>
      <c r="H90" s="120" t="s">
        <v>322</v>
      </c>
      <c r="I90" s="50">
        <f t="shared" si="22"/>
        <v>0</v>
      </c>
      <c r="J90" s="26"/>
      <c r="M90" s="29"/>
    </row>
    <row r="91" spans="1:24" ht="14.4" x14ac:dyDescent="0.3">
      <c r="A91" s="117" t="s">
        <v>325</v>
      </c>
      <c r="B91" s="113" t="s">
        <v>337</v>
      </c>
      <c r="C91" s="58">
        <f t="shared" si="21"/>
        <v>0</v>
      </c>
      <c r="D91" s="118"/>
      <c r="E91" s="119"/>
      <c r="F91" s="119"/>
      <c r="G91" s="120">
        <v>2034</v>
      </c>
      <c r="H91" s="120" t="s">
        <v>327</v>
      </c>
      <c r="I91" s="50">
        <f t="shared" si="22"/>
        <v>0</v>
      </c>
      <c r="J91" s="26"/>
      <c r="M91" s="29"/>
    </row>
    <row r="92" spans="1:24" x14ac:dyDescent="0.3">
      <c r="A92" s="117" t="s">
        <v>325</v>
      </c>
      <c r="B92" s="123" t="s">
        <v>338</v>
      </c>
      <c r="C92" s="58">
        <f t="shared" si="21"/>
        <v>0</v>
      </c>
      <c r="D92" s="118"/>
      <c r="E92" s="119"/>
      <c r="F92" s="119"/>
      <c r="G92" s="120">
        <v>2035</v>
      </c>
      <c r="H92" s="120" t="s">
        <v>322</v>
      </c>
      <c r="I92" s="50">
        <f t="shared" si="22"/>
        <v>0</v>
      </c>
      <c r="J92" s="26"/>
      <c r="M92" s="29"/>
    </row>
    <row r="93" spans="1:24" ht="15.65" thickBot="1" x14ac:dyDescent="0.35">
      <c r="A93" s="30"/>
      <c r="B93" s="31"/>
      <c r="C93" s="55">
        <f>SUM(C80:C92)</f>
        <v>0</v>
      </c>
      <c r="D93" s="59">
        <f>SUM(D80:D92)</f>
        <v>0</v>
      </c>
      <c r="E93" s="45"/>
      <c r="F93" s="45"/>
      <c r="G93" s="45"/>
      <c r="H93" s="45"/>
      <c r="I93" s="55">
        <f>SUM(I80:I92)</f>
        <v>0</v>
      </c>
      <c r="J93" s="46"/>
      <c r="K93" s="31"/>
      <c r="L93" s="31"/>
      <c r="M93" s="32"/>
    </row>
    <row r="94" spans="1:24" x14ac:dyDescent="0.3">
      <c r="B94" s="63" t="str">
        <f>IF(N($C$29)=0,"",IF(ABS($D$93-1)&gt;=0.00005,"CHECK: shares add up to "&amp;FIXED(($D$93)*100,1)&amp;"%"&amp;", must be 100%",IF(SUMPRODUCT(($C$80:$C$92&gt;0)*(($G$80:$G$92&lt;2028)+($G$80:$G$92&gt;2035)&gt;0))&gt;0,"CHECK: a row with a share has no year between 2028 and 2035","OK: shares 100%, years complete")))</f>
        <v/>
      </c>
      <c r="E94" s="2"/>
      <c r="F94" s="2"/>
      <c r="G94" s="2"/>
      <c r="H94" s="2"/>
      <c r="J94" s="26"/>
    </row>
    <row r="95" spans="1:24" ht="15.65" thickBot="1" x14ac:dyDescent="0.35">
      <c r="E95" s="2"/>
      <c r="F95" s="2"/>
      <c r="G95" s="2"/>
      <c r="H95" s="2"/>
      <c r="J95" s="26"/>
    </row>
    <row r="96" spans="1:24" ht="15.65" thickBot="1" x14ac:dyDescent="0.35">
      <c r="A96" s="47" t="s">
        <v>308</v>
      </c>
      <c r="B96" s="48" t="str">
        <f>B30</f>
        <v>Measure 4</v>
      </c>
      <c r="C96" s="28"/>
      <c r="D96" s="28"/>
      <c r="E96" s="150" t="s">
        <v>309</v>
      </c>
      <c r="F96" s="150"/>
      <c r="G96" s="150"/>
      <c r="H96" s="150"/>
      <c r="I96" s="28"/>
      <c r="J96" s="151" t="s">
        <v>310</v>
      </c>
      <c r="K96" s="152"/>
      <c r="L96" s="152"/>
      <c r="M96" s="153"/>
      <c r="O96" s="48" t="str">
        <f>B96</f>
        <v>Measure 4</v>
      </c>
    </row>
    <row r="97" spans="1:24" ht="30.05" x14ac:dyDescent="0.3">
      <c r="A97" s="49">
        <f>D30</f>
        <v>0</v>
      </c>
      <c r="B97" s="22" t="s">
        <v>311</v>
      </c>
      <c r="C97" s="6" t="s">
        <v>284</v>
      </c>
      <c r="D97" s="6" t="s">
        <v>312</v>
      </c>
      <c r="E97" s="6" t="s">
        <v>313</v>
      </c>
      <c r="F97" s="6" t="s">
        <v>314</v>
      </c>
      <c r="G97" s="6" t="s">
        <v>315</v>
      </c>
      <c r="H97" s="6" t="s">
        <v>316</v>
      </c>
      <c r="I97" s="36" t="s">
        <v>285</v>
      </c>
      <c r="J97" s="37" t="s">
        <v>317</v>
      </c>
      <c r="K97" s="6" t="s">
        <v>284</v>
      </c>
      <c r="L97" s="6" t="s">
        <v>285</v>
      </c>
      <c r="M97" s="38" t="s">
        <v>318</v>
      </c>
      <c r="O97" s="71" t="s">
        <v>317</v>
      </c>
      <c r="P97" s="72">
        <v>2028</v>
      </c>
      <c r="Q97" s="72">
        <v>2029</v>
      </c>
      <c r="R97" s="72">
        <v>2030</v>
      </c>
      <c r="S97" s="72">
        <v>2031</v>
      </c>
      <c r="T97" s="72">
        <v>2032</v>
      </c>
      <c r="U97" s="72">
        <v>2033</v>
      </c>
      <c r="V97" s="72">
        <v>2034</v>
      </c>
      <c r="W97" s="72">
        <v>2035</v>
      </c>
      <c r="X97" s="73" t="s">
        <v>319</v>
      </c>
    </row>
    <row r="98" spans="1:24" x14ac:dyDescent="0.3">
      <c r="A98" s="117" t="s">
        <v>320</v>
      </c>
      <c r="B98" s="116" t="s">
        <v>321</v>
      </c>
      <c r="C98" s="58">
        <f t="shared" ref="C98:C110" si="29">$A$97*D98</f>
        <v>0</v>
      </c>
      <c r="D98" s="118"/>
      <c r="E98" s="121"/>
      <c r="F98" s="121"/>
      <c r="G98" s="120">
        <v>2028</v>
      </c>
      <c r="H98" s="120" t="s">
        <v>322</v>
      </c>
      <c r="I98" s="60">
        <f t="shared" ref="I98:I110" si="30">C98*$E$19</f>
        <v>0</v>
      </c>
      <c r="J98" s="56">
        <v>2028</v>
      </c>
      <c r="K98" s="50">
        <f t="shared" ref="K98:K105" si="31">SUMIF($G$98:$G$110,J98,$C$98:$C$110)</f>
        <v>0</v>
      </c>
      <c r="L98" s="50">
        <f t="shared" ref="L98:L105" si="32">SUMIF($G$98:$G$110,J98,$I$98:$I$110)</f>
        <v>0</v>
      </c>
      <c r="M98" s="54">
        <f t="shared" ref="M98:M105" si="33">SUM(K98:L98)</f>
        <v>0</v>
      </c>
      <c r="O98" s="37" t="s">
        <v>284</v>
      </c>
      <c r="P98" s="50">
        <f t="shared" ref="P98:W98" si="34">SUMIF($G$98:$G$110,P97,$C$98:$C$110)</f>
        <v>0</v>
      </c>
      <c r="Q98" s="50">
        <f t="shared" si="34"/>
        <v>0</v>
      </c>
      <c r="R98" s="50">
        <f t="shared" si="34"/>
        <v>0</v>
      </c>
      <c r="S98" s="50">
        <f t="shared" si="34"/>
        <v>0</v>
      </c>
      <c r="T98" s="50">
        <f t="shared" si="34"/>
        <v>0</v>
      </c>
      <c r="U98" s="50">
        <f t="shared" si="34"/>
        <v>0</v>
      </c>
      <c r="V98" s="50">
        <f t="shared" si="34"/>
        <v>0</v>
      </c>
      <c r="W98" s="50">
        <f t="shared" si="34"/>
        <v>0</v>
      </c>
      <c r="X98" s="78">
        <f>SUM(P98:W98)</f>
        <v>0</v>
      </c>
    </row>
    <row r="99" spans="1:24" x14ac:dyDescent="0.3">
      <c r="A99" s="117" t="s">
        <v>320</v>
      </c>
      <c r="B99" s="116" t="s">
        <v>323</v>
      </c>
      <c r="C99" s="58">
        <f t="shared" si="29"/>
        <v>0</v>
      </c>
      <c r="D99" s="118"/>
      <c r="E99" s="119"/>
      <c r="F99" s="119"/>
      <c r="G99" s="120">
        <v>2029</v>
      </c>
      <c r="H99" s="120" t="s">
        <v>324</v>
      </c>
      <c r="I99" s="60">
        <f t="shared" si="30"/>
        <v>0</v>
      </c>
      <c r="J99" s="56">
        <v>2029</v>
      </c>
      <c r="K99" s="50">
        <f t="shared" si="31"/>
        <v>0</v>
      </c>
      <c r="L99" s="50">
        <f t="shared" si="32"/>
        <v>0</v>
      </c>
      <c r="M99" s="54">
        <f t="shared" si="33"/>
        <v>0</v>
      </c>
      <c r="O99" s="37" t="s">
        <v>285</v>
      </c>
      <c r="P99" s="50">
        <f t="shared" ref="P99:W99" si="35">SUMIF($G$98:$G$110,P97,$I$98:$I$110)</f>
        <v>0</v>
      </c>
      <c r="Q99" s="50">
        <f t="shared" si="35"/>
        <v>0</v>
      </c>
      <c r="R99" s="50">
        <f t="shared" si="35"/>
        <v>0</v>
      </c>
      <c r="S99" s="50">
        <f t="shared" si="35"/>
        <v>0</v>
      </c>
      <c r="T99" s="50">
        <f t="shared" si="35"/>
        <v>0</v>
      </c>
      <c r="U99" s="50">
        <f t="shared" si="35"/>
        <v>0</v>
      </c>
      <c r="V99" s="50">
        <f t="shared" si="35"/>
        <v>0</v>
      </c>
      <c r="W99" s="50">
        <f t="shared" si="35"/>
        <v>0</v>
      </c>
      <c r="X99" s="78">
        <f>SUM(P99:W99)</f>
        <v>0</v>
      </c>
    </row>
    <row r="100" spans="1:24" ht="30.7" thickBot="1" x14ac:dyDescent="0.35">
      <c r="A100" s="117" t="s">
        <v>325</v>
      </c>
      <c r="B100" s="116" t="s">
        <v>326</v>
      </c>
      <c r="C100" s="58">
        <f t="shared" si="29"/>
        <v>0</v>
      </c>
      <c r="D100" s="118"/>
      <c r="E100" s="119"/>
      <c r="F100" s="119"/>
      <c r="G100" s="120">
        <v>2029</v>
      </c>
      <c r="H100" s="120" t="s">
        <v>327</v>
      </c>
      <c r="I100" s="60">
        <f t="shared" si="30"/>
        <v>0</v>
      </c>
      <c r="J100" s="56">
        <v>2030</v>
      </c>
      <c r="K100" s="50">
        <f t="shared" si="31"/>
        <v>0</v>
      </c>
      <c r="L100" s="50">
        <f t="shared" si="32"/>
        <v>0</v>
      </c>
      <c r="M100" s="54">
        <f t="shared" si="33"/>
        <v>0</v>
      </c>
      <c r="O100" s="75" t="s">
        <v>318</v>
      </c>
      <c r="P100" s="79">
        <f t="shared" ref="P100:W100" si="36">SUM(P98:P99)</f>
        <v>0</v>
      </c>
      <c r="Q100" s="79">
        <f t="shared" si="36"/>
        <v>0</v>
      </c>
      <c r="R100" s="79">
        <f t="shared" si="36"/>
        <v>0</v>
      </c>
      <c r="S100" s="79">
        <f t="shared" si="36"/>
        <v>0</v>
      </c>
      <c r="T100" s="79">
        <f t="shared" si="36"/>
        <v>0</v>
      </c>
      <c r="U100" s="79">
        <f t="shared" si="36"/>
        <v>0</v>
      </c>
      <c r="V100" s="79">
        <f t="shared" si="36"/>
        <v>0</v>
      </c>
      <c r="W100" s="79">
        <f t="shared" si="36"/>
        <v>0</v>
      </c>
      <c r="X100" s="77">
        <f>SUM(P100:W100)</f>
        <v>0</v>
      </c>
    </row>
    <row r="101" spans="1:24" x14ac:dyDescent="0.3">
      <c r="A101" s="117" t="s">
        <v>320</v>
      </c>
      <c r="B101" s="116" t="s">
        <v>328</v>
      </c>
      <c r="C101" s="58">
        <f t="shared" si="29"/>
        <v>0</v>
      </c>
      <c r="D101" s="118"/>
      <c r="E101" s="119"/>
      <c r="F101" s="119"/>
      <c r="G101" s="120">
        <v>2029</v>
      </c>
      <c r="H101" s="120" t="s">
        <v>329</v>
      </c>
      <c r="I101" s="60">
        <f t="shared" si="30"/>
        <v>0</v>
      </c>
      <c r="J101" s="56">
        <v>2031</v>
      </c>
      <c r="K101" s="50">
        <f t="shared" si="31"/>
        <v>0</v>
      </c>
      <c r="L101" s="50">
        <f t="shared" si="32"/>
        <v>0</v>
      </c>
      <c r="M101" s="54">
        <f t="shared" si="33"/>
        <v>0</v>
      </c>
    </row>
    <row r="102" spans="1:24" x14ac:dyDescent="0.3">
      <c r="A102" s="117" t="s">
        <v>320</v>
      </c>
      <c r="B102" s="116" t="s">
        <v>330</v>
      </c>
      <c r="C102" s="58">
        <f t="shared" si="29"/>
        <v>0</v>
      </c>
      <c r="D102" s="118"/>
      <c r="E102" s="119"/>
      <c r="F102" s="119"/>
      <c r="G102" s="120">
        <v>2030</v>
      </c>
      <c r="H102" s="120" t="s">
        <v>324</v>
      </c>
      <c r="I102" s="60">
        <f t="shared" si="30"/>
        <v>0</v>
      </c>
      <c r="J102" s="56">
        <v>2032</v>
      </c>
      <c r="K102" s="50">
        <f t="shared" si="31"/>
        <v>0</v>
      </c>
      <c r="L102" s="50">
        <f t="shared" si="32"/>
        <v>0</v>
      </c>
      <c r="M102" s="54">
        <f t="shared" si="33"/>
        <v>0</v>
      </c>
    </row>
    <row r="103" spans="1:24" x14ac:dyDescent="0.3">
      <c r="A103" s="117" t="s">
        <v>325</v>
      </c>
      <c r="B103" s="116" t="s">
        <v>331</v>
      </c>
      <c r="C103" s="58">
        <f t="shared" si="29"/>
        <v>0</v>
      </c>
      <c r="D103" s="118"/>
      <c r="E103" s="119"/>
      <c r="F103" s="119"/>
      <c r="G103" s="120">
        <v>2030</v>
      </c>
      <c r="H103" s="120" t="s">
        <v>327</v>
      </c>
      <c r="I103" s="60">
        <f t="shared" si="30"/>
        <v>0</v>
      </c>
      <c r="J103" s="56">
        <v>2033</v>
      </c>
      <c r="K103" s="50">
        <f t="shared" si="31"/>
        <v>0</v>
      </c>
      <c r="L103" s="50">
        <f t="shared" si="32"/>
        <v>0</v>
      </c>
      <c r="M103" s="54">
        <f t="shared" si="33"/>
        <v>0</v>
      </c>
    </row>
    <row r="104" spans="1:24" x14ac:dyDescent="0.3">
      <c r="A104" s="117" t="s">
        <v>320</v>
      </c>
      <c r="B104" s="113" t="s">
        <v>332</v>
      </c>
      <c r="C104" s="58">
        <f t="shared" si="29"/>
        <v>0</v>
      </c>
      <c r="D104" s="118"/>
      <c r="E104" s="119"/>
      <c r="F104" s="119"/>
      <c r="G104" s="120">
        <v>2030</v>
      </c>
      <c r="H104" s="120" t="s">
        <v>329</v>
      </c>
      <c r="I104" s="60">
        <f t="shared" si="30"/>
        <v>0</v>
      </c>
      <c r="J104" s="56">
        <v>2034</v>
      </c>
      <c r="K104" s="50">
        <f t="shared" si="31"/>
        <v>0</v>
      </c>
      <c r="L104" s="50">
        <f t="shared" si="32"/>
        <v>0</v>
      </c>
      <c r="M104" s="54">
        <f t="shared" si="33"/>
        <v>0</v>
      </c>
    </row>
    <row r="105" spans="1:24" x14ac:dyDescent="0.3">
      <c r="A105" s="117" t="s">
        <v>320</v>
      </c>
      <c r="B105" s="116" t="s">
        <v>333</v>
      </c>
      <c r="C105" s="58">
        <f t="shared" si="29"/>
        <v>0</v>
      </c>
      <c r="D105" s="118"/>
      <c r="E105" s="119"/>
      <c r="F105" s="119"/>
      <c r="G105" s="120">
        <v>2031</v>
      </c>
      <c r="H105" s="120" t="s">
        <v>324</v>
      </c>
      <c r="I105" s="60">
        <f t="shared" si="30"/>
        <v>0</v>
      </c>
      <c r="J105" s="57">
        <v>2035</v>
      </c>
      <c r="K105" s="50">
        <f t="shared" si="31"/>
        <v>0</v>
      </c>
      <c r="L105" s="50">
        <f t="shared" si="32"/>
        <v>0</v>
      </c>
      <c r="M105" s="54">
        <f t="shared" si="33"/>
        <v>0</v>
      </c>
    </row>
    <row r="106" spans="1:24" ht="15.65" thickBot="1" x14ac:dyDescent="0.35">
      <c r="A106" s="117" t="s">
        <v>325</v>
      </c>
      <c r="B106" s="116" t="s">
        <v>334</v>
      </c>
      <c r="C106" s="58">
        <f t="shared" si="29"/>
        <v>0</v>
      </c>
      <c r="D106" s="118"/>
      <c r="E106" s="119"/>
      <c r="F106" s="119"/>
      <c r="G106" s="120">
        <v>2031</v>
      </c>
      <c r="H106" s="120" t="s">
        <v>327</v>
      </c>
      <c r="I106" s="60">
        <f t="shared" si="30"/>
        <v>0</v>
      </c>
      <c r="J106" s="39" t="s">
        <v>319</v>
      </c>
      <c r="K106" s="55">
        <f>SUM(K98:K105)</f>
        <v>0</v>
      </c>
      <c r="L106" s="55">
        <f>SUM(L98:L105)</f>
        <v>0</v>
      </c>
      <c r="M106" s="40">
        <f>SUM(M98:M105)</f>
        <v>0</v>
      </c>
    </row>
    <row r="107" spans="1:24" x14ac:dyDescent="0.3">
      <c r="A107" s="117" t="s">
        <v>325</v>
      </c>
      <c r="B107" s="113" t="s">
        <v>335</v>
      </c>
      <c r="C107" s="58">
        <f t="shared" si="29"/>
        <v>0</v>
      </c>
      <c r="D107" s="118"/>
      <c r="E107" s="119"/>
      <c r="F107" s="119" t="s">
        <v>340</v>
      </c>
      <c r="G107" s="120">
        <v>2035</v>
      </c>
      <c r="H107" s="120" t="s">
        <v>322</v>
      </c>
      <c r="I107" s="50">
        <f t="shared" si="30"/>
        <v>0</v>
      </c>
      <c r="J107" s="26"/>
      <c r="M107" s="29"/>
      <c r="N107" s="25"/>
    </row>
    <row r="108" spans="1:24" x14ac:dyDescent="0.3">
      <c r="A108" s="117" t="s">
        <v>325</v>
      </c>
      <c r="B108" s="113" t="s">
        <v>339</v>
      </c>
      <c r="C108" s="58">
        <f t="shared" si="29"/>
        <v>0</v>
      </c>
      <c r="D108" s="118"/>
      <c r="E108" s="119"/>
      <c r="F108" s="119" t="s">
        <v>340</v>
      </c>
      <c r="G108" s="120"/>
      <c r="H108" s="120"/>
      <c r="I108" s="50">
        <f t="shared" si="30"/>
        <v>0</v>
      </c>
      <c r="J108" s="26"/>
      <c r="M108" s="29"/>
    </row>
    <row r="109" spans="1:24" x14ac:dyDescent="0.3">
      <c r="A109" s="117" t="s">
        <v>325</v>
      </c>
      <c r="B109" s="113" t="s">
        <v>337</v>
      </c>
      <c r="C109" s="58">
        <f t="shared" si="29"/>
        <v>0</v>
      </c>
      <c r="D109" s="118"/>
      <c r="E109" s="119"/>
      <c r="F109" s="119" t="s">
        <v>340</v>
      </c>
      <c r="G109" s="120"/>
      <c r="H109" s="120"/>
      <c r="I109" s="50">
        <f t="shared" si="30"/>
        <v>0</v>
      </c>
      <c r="J109" s="26"/>
      <c r="M109" s="29"/>
    </row>
    <row r="110" spans="1:24" x14ac:dyDescent="0.3">
      <c r="A110" s="117" t="s">
        <v>325</v>
      </c>
      <c r="B110" s="123" t="s">
        <v>338</v>
      </c>
      <c r="C110" s="58">
        <f t="shared" si="29"/>
        <v>0</v>
      </c>
      <c r="D110" s="118"/>
      <c r="E110" s="119"/>
      <c r="F110" s="119" t="s">
        <v>340</v>
      </c>
      <c r="G110" s="120"/>
      <c r="H110" s="120"/>
      <c r="I110" s="50">
        <f t="shared" si="30"/>
        <v>0</v>
      </c>
      <c r="J110" s="26"/>
      <c r="M110" s="29"/>
    </row>
    <row r="111" spans="1:24" ht="15.65" thickBot="1" x14ac:dyDescent="0.35">
      <c r="A111" s="30"/>
      <c r="B111" s="31"/>
      <c r="C111" s="55">
        <f>SUM(C98:C110)</f>
        <v>0</v>
      </c>
      <c r="D111" s="59">
        <f>SUM(D98:D110)</f>
        <v>0</v>
      </c>
      <c r="E111" s="45"/>
      <c r="F111" s="45"/>
      <c r="G111" s="45"/>
      <c r="H111" s="45"/>
      <c r="I111" s="55">
        <f>SUM(I98:I110)</f>
        <v>0</v>
      </c>
      <c r="J111" s="46"/>
      <c r="K111" s="31"/>
      <c r="L111" s="31"/>
      <c r="M111" s="32"/>
    </row>
    <row r="112" spans="1:24" x14ac:dyDescent="0.3">
      <c r="B112" s="63" t="str">
        <f>IF(N($C$30)=0,"",IF(ABS($D$111-1)&gt;=0.00005,"CHECK: shares add up to "&amp;FIXED(($D$111)*100,1)&amp;"%"&amp;", must be 100%",IF(SUMPRODUCT(($C$98:$C$110&gt;0)*(($G$98:$G$110&lt;2028)+($G$98:$G$110&gt;2035)&gt;0))&gt;0,"CHECK: a row with a share has no year between 2028 and 2035","OK: shares 100%, years complete")))</f>
        <v/>
      </c>
    </row>
    <row r="113" spans="1:24" ht="15.65" thickBot="1" x14ac:dyDescent="0.35"/>
    <row r="114" spans="1:24" ht="15.65" thickBot="1" x14ac:dyDescent="0.35">
      <c r="A114" s="47" t="s">
        <v>308</v>
      </c>
      <c r="B114" s="48" t="str">
        <f>B31</f>
        <v>Measure 5</v>
      </c>
      <c r="C114" s="28"/>
      <c r="D114" s="28"/>
      <c r="E114" s="150" t="s">
        <v>309</v>
      </c>
      <c r="F114" s="150"/>
      <c r="G114" s="150"/>
      <c r="H114" s="150"/>
      <c r="I114" s="28"/>
      <c r="J114" s="151" t="s">
        <v>310</v>
      </c>
      <c r="K114" s="152"/>
      <c r="L114" s="152"/>
      <c r="M114" s="153"/>
      <c r="O114" s="48" t="str">
        <f>B114</f>
        <v>Measure 5</v>
      </c>
    </row>
    <row r="115" spans="1:24" ht="30.05" x14ac:dyDescent="0.3">
      <c r="A115" s="49">
        <f>D31</f>
        <v>0</v>
      </c>
      <c r="B115" s="22" t="s">
        <v>311</v>
      </c>
      <c r="C115" s="6" t="s">
        <v>284</v>
      </c>
      <c r="D115" s="6" t="s">
        <v>312</v>
      </c>
      <c r="E115" s="6" t="s">
        <v>313</v>
      </c>
      <c r="F115" s="6" t="s">
        <v>314</v>
      </c>
      <c r="G115" s="6" t="s">
        <v>315</v>
      </c>
      <c r="H115" s="6" t="s">
        <v>316</v>
      </c>
      <c r="I115" s="36" t="s">
        <v>285</v>
      </c>
      <c r="J115" s="37" t="s">
        <v>317</v>
      </c>
      <c r="K115" s="6" t="s">
        <v>284</v>
      </c>
      <c r="L115" s="6" t="s">
        <v>285</v>
      </c>
      <c r="M115" s="38" t="s">
        <v>318</v>
      </c>
      <c r="O115" s="71" t="s">
        <v>317</v>
      </c>
      <c r="P115" s="72">
        <v>2028</v>
      </c>
      <c r="Q115" s="72">
        <v>2029</v>
      </c>
      <c r="R115" s="72">
        <v>2030</v>
      </c>
      <c r="S115" s="72">
        <v>2031</v>
      </c>
      <c r="T115" s="72">
        <v>2032</v>
      </c>
      <c r="U115" s="72">
        <v>2033</v>
      </c>
      <c r="V115" s="72">
        <v>2034</v>
      </c>
      <c r="W115" s="72">
        <v>2035</v>
      </c>
      <c r="X115" s="73" t="s">
        <v>319</v>
      </c>
    </row>
    <row r="116" spans="1:24" x14ac:dyDescent="0.3">
      <c r="A116" s="117" t="s">
        <v>320</v>
      </c>
      <c r="B116" s="116" t="s">
        <v>321</v>
      </c>
      <c r="C116" s="58">
        <f t="shared" ref="C116:C128" si="37">$A$115*D116</f>
        <v>0</v>
      </c>
      <c r="D116" s="118"/>
      <c r="E116" s="121"/>
      <c r="F116" s="121"/>
      <c r="G116" s="120">
        <v>2028</v>
      </c>
      <c r="H116" s="120" t="s">
        <v>322</v>
      </c>
      <c r="I116" s="60">
        <f t="shared" ref="I116:I128" si="38">C116*$E$19</f>
        <v>0</v>
      </c>
      <c r="J116" s="56">
        <v>2028</v>
      </c>
      <c r="K116" s="50">
        <f t="shared" ref="K116:K123" si="39">SUMIF($G$116:$G$128,J116,$C$116:$C$128)</f>
        <v>0</v>
      </c>
      <c r="L116" s="50">
        <f t="shared" ref="L116:L123" si="40">SUMIF($G$116:$G$128,J116,$I$116:$I$128)</f>
        <v>0</v>
      </c>
      <c r="M116" s="54">
        <f t="shared" ref="M116:M123" si="41">SUM(K116:L116)</f>
        <v>0</v>
      </c>
      <c r="O116" s="37" t="s">
        <v>284</v>
      </c>
      <c r="P116" s="50">
        <f t="shared" ref="P116:W116" si="42">SUMIF($G$116:$G$128,P115,$C$116:$C$128)</f>
        <v>0</v>
      </c>
      <c r="Q116" s="50">
        <f t="shared" si="42"/>
        <v>0</v>
      </c>
      <c r="R116" s="50">
        <f t="shared" si="42"/>
        <v>0</v>
      </c>
      <c r="S116" s="50">
        <f t="shared" si="42"/>
        <v>0</v>
      </c>
      <c r="T116" s="50">
        <f t="shared" si="42"/>
        <v>0</v>
      </c>
      <c r="U116" s="50">
        <f t="shared" si="42"/>
        <v>0</v>
      </c>
      <c r="V116" s="50">
        <f t="shared" si="42"/>
        <v>0</v>
      </c>
      <c r="W116" s="50">
        <f t="shared" si="42"/>
        <v>0</v>
      </c>
      <c r="X116" s="78">
        <f>SUM(P116:W116)</f>
        <v>0</v>
      </c>
    </row>
    <row r="117" spans="1:24" x14ac:dyDescent="0.3">
      <c r="A117" s="117" t="s">
        <v>320</v>
      </c>
      <c r="B117" s="116" t="s">
        <v>323</v>
      </c>
      <c r="C117" s="58">
        <f t="shared" si="37"/>
        <v>0</v>
      </c>
      <c r="D117" s="118"/>
      <c r="E117" s="119"/>
      <c r="F117" s="119"/>
      <c r="G117" s="120">
        <v>2029</v>
      </c>
      <c r="H117" s="120" t="s">
        <v>324</v>
      </c>
      <c r="I117" s="60">
        <f t="shared" si="38"/>
        <v>0</v>
      </c>
      <c r="J117" s="56">
        <v>2029</v>
      </c>
      <c r="K117" s="50">
        <f t="shared" si="39"/>
        <v>0</v>
      </c>
      <c r="L117" s="50">
        <f t="shared" si="40"/>
        <v>0</v>
      </c>
      <c r="M117" s="54">
        <f t="shared" si="41"/>
        <v>0</v>
      </c>
      <c r="O117" s="37" t="s">
        <v>285</v>
      </c>
      <c r="P117" s="50">
        <f t="shared" ref="P117:W117" si="43">SUMIF($G$116:$G$128,P115,$I$116:$I$128)</f>
        <v>0</v>
      </c>
      <c r="Q117" s="50">
        <f t="shared" si="43"/>
        <v>0</v>
      </c>
      <c r="R117" s="50">
        <f t="shared" si="43"/>
        <v>0</v>
      </c>
      <c r="S117" s="50">
        <f t="shared" si="43"/>
        <v>0</v>
      </c>
      <c r="T117" s="50">
        <f t="shared" si="43"/>
        <v>0</v>
      </c>
      <c r="U117" s="50">
        <f t="shared" si="43"/>
        <v>0</v>
      </c>
      <c r="V117" s="50">
        <f t="shared" si="43"/>
        <v>0</v>
      </c>
      <c r="W117" s="50">
        <f t="shared" si="43"/>
        <v>0</v>
      </c>
      <c r="X117" s="78">
        <f>SUM(P117:W117)</f>
        <v>0</v>
      </c>
    </row>
    <row r="118" spans="1:24" ht="30.7" thickBot="1" x14ac:dyDescent="0.35">
      <c r="A118" s="117" t="s">
        <v>325</v>
      </c>
      <c r="B118" s="116" t="s">
        <v>326</v>
      </c>
      <c r="C118" s="58">
        <f t="shared" si="37"/>
        <v>0</v>
      </c>
      <c r="D118" s="118"/>
      <c r="E118" s="119"/>
      <c r="F118" s="119"/>
      <c r="G118" s="120">
        <v>2029</v>
      </c>
      <c r="H118" s="120" t="s">
        <v>327</v>
      </c>
      <c r="I118" s="60">
        <f t="shared" si="38"/>
        <v>0</v>
      </c>
      <c r="J118" s="56">
        <v>2030</v>
      </c>
      <c r="K118" s="50">
        <f t="shared" si="39"/>
        <v>0</v>
      </c>
      <c r="L118" s="50">
        <f t="shared" si="40"/>
        <v>0</v>
      </c>
      <c r="M118" s="54">
        <f t="shared" si="41"/>
        <v>0</v>
      </c>
      <c r="O118" s="75" t="s">
        <v>318</v>
      </c>
      <c r="P118" s="79">
        <f t="shared" ref="P118:W118" si="44">SUM(P116:P117)</f>
        <v>0</v>
      </c>
      <c r="Q118" s="79">
        <f t="shared" si="44"/>
        <v>0</v>
      </c>
      <c r="R118" s="79">
        <f t="shared" si="44"/>
        <v>0</v>
      </c>
      <c r="S118" s="79">
        <f t="shared" si="44"/>
        <v>0</v>
      </c>
      <c r="T118" s="79">
        <f t="shared" si="44"/>
        <v>0</v>
      </c>
      <c r="U118" s="79">
        <f t="shared" si="44"/>
        <v>0</v>
      </c>
      <c r="V118" s="79">
        <f t="shared" si="44"/>
        <v>0</v>
      </c>
      <c r="W118" s="79">
        <f t="shared" si="44"/>
        <v>0</v>
      </c>
      <c r="X118" s="77">
        <f>SUM(P118:W118)</f>
        <v>0</v>
      </c>
    </row>
    <row r="119" spans="1:24" x14ac:dyDescent="0.3">
      <c r="A119" s="117" t="s">
        <v>320</v>
      </c>
      <c r="B119" s="116" t="s">
        <v>328</v>
      </c>
      <c r="C119" s="58">
        <f t="shared" si="37"/>
        <v>0</v>
      </c>
      <c r="D119" s="118"/>
      <c r="E119" s="119"/>
      <c r="F119" s="119"/>
      <c r="G119" s="120">
        <v>2029</v>
      </c>
      <c r="H119" s="120" t="s">
        <v>329</v>
      </c>
      <c r="I119" s="60">
        <f t="shared" si="38"/>
        <v>0</v>
      </c>
      <c r="J119" s="56">
        <v>2031</v>
      </c>
      <c r="K119" s="50">
        <f t="shared" si="39"/>
        <v>0</v>
      </c>
      <c r="L119" s="50">
        <f t="shared" si="40"/>
        <v>0</v>
      </c>
      <c r="M119" s="54">
        <f t="shared" si="41"/>
        <v>0</v>
      </c>
    </row>
    <row r="120" spans="1:24" x14ac:dyDescent="0.3">
      <c r="A120" s="117" t="s">
        <v>320</v>
      </c>
      <c r="B120" s="116" t="s">
        <v>330</v>
      </c>
      <c r="C120" s="58">
        <f t="shared" si="37"/>
        <v>0</v>
      </c>
      <c r="D120" s="118"/>
      <c r="E120" s="119"/>
      <c r="F120" s="119"/>
      <c r="G120" s="120">
        <v>2030</v>
      </c>
      <c r="H120" s="120" t="s">
        <v>324</v>
      </c>
      <c r="I120" s="60">
        <f t="shared" si="38"/>
        <v>0</v>
      </c>
      <c r="J120" s="56">
        <v>2032</v>
      </c>
      <c r="K120" s="50">
        <f t="shared" si="39"/>
        <v>0</v>
      </c>
      <c r="L120" s="50">
        <f t="shared" si="40"/>
        <v>0</v>
      </c>
      <c r="M120" s="54">
        <f t="shared" si="41"/>
        <v>0</v>
      </c>
    </row>
    <row r="121" spans="1:24" x14ac:dyDescent="0.3">
      <c r="A121" s="117" t="s">
        <v>325</v>
      </c>
      <c r="B121" s="116" t="s">
        <v>331</v>
      </c>
      <c r="C121" s="58">
        <f t="shared" si="37"/>
        <v>0</v>
      </c>
      <c r="D121" s="118"/>
      <c r="E121" s="119"/>
      <c r="F121" s="119"/>
      <c r="G121" s="120">
        <v>2030</v>
      </c>
      <c r="H121" s="120" t="s">
        <v>327</v>
      </c>
      <c r="I121" s="60">
        <f t="shared" si="38"/>
        <v>0</v>
      </c>
      <c r="J121" s="56">
        <v>2033</v>
      </c>
      <c r="K121" s="50">
        <f t="shared" si="39"/>
        <v>0</v>
      </c>
      <c r="L121" s="50">
        <f t="shared" si="40"/>
        <v>0</v>
      </c>
      <c r="M121" s="54">
        <f t="shared" si="41"/>
        <v>0</v>
      </c>
    </row>
    <row r="122" spans="1:24" x14ac:dyDescent="0.3">
      <c r="A122" s="117" t="s">
        <v>320</v>
      </c>
      <c r="B122" s="113" t="s">
        <v>332</v>
      </c>
      <c r="C122" s="58">
        <f t="shared" si="37"/>
        <v>0</v>
      </c>
      <c r="D122" s="118"/>
      <c r="E122" s="119"/>
      <c r="F122" s="119"/>
      <c r="G122" s="120">
        <v>2030</v>
      </c>
      <c r="H122" s="120" t="s">
        <v>329</v>
      </c>
      <c r="I122" s="60">
        <f t="shared" si="38"/>
        <v>0</v>
      </c>
      <c r="J122" s="56">
        <v>2034</v>
      </c>
      <c r="K122" s="50">
        <f t="shared" si="39"/>
        <v>0</v>
      </c>
      <c r="L122" s="50">
        <f t="shared" si="40"/>
        <v>0</v>
      </c>
      <c r="M122" s="54">
        <f t="shared" si="41"/>
        <v>0</v>
      </c>
    </row>
    <row r="123" spans="1:24" x14ac:dyDescent="0.3">
      <c r="A123" s="117" t="s">
        <v>320</v>
      </c>
      <c r="B123" s="116" t="s">
        <v>333</v>
      </c>
      <c r="C123" s="58">
        <f t="shared" si="37"/>
        <v>0</v>
      </c>
      <c r="D123" s="118"/>
      <c r="E123" s="119"/>
      <c r="F123" s="119"/>
      <c r="G123" s="120">
        <v>2031</v>
      </c>
      <c r="H123" s="120" t="s">
        <v>324</v>
      </c>
      <c r="I123" s="60">
        <f t="shared" si="38"/>
        <v>0</v>
      </c>
      <c r="J123" s="57">
        <v>2035</v>
      </c>
      <c r="K123" s="50">
        <f t="shared" si="39"/>
        <v>0</v>
      </c>
      <c r="L123" s="50">
        <f t="shared" si="40"/>
        <v>0</v>
      </c>
      <c r="M123" s="54">
        <f t="shared" si="41"/>
        <v>0</v>
      </c>
    </row>
    <row r="124" spans="1:24" ht="15.65" thickBot="1" x14ac:dyDescent="0.35">
      <c r="A124" s="117" t="s">
        <v>325</v>
      </c>
      <c r="B124" s="116" t="s">
        <v>334</v>
      </c>
      <c r="C124" s="58">
        <f t="shared" si="37"/>
        <v>0</v>
      </c>
      <c r="D124" s="118"/>
      <c r="E124" s="119"/>
      <c r="F124" s="119"/>
      <c r="G124" s="120">
        <v>2031</v>
      </c>
      <c r="H124" s="120" t="s">
        <v>327</v>
      </c>
      <c r="I124" s="60">
        <f t="shared" si="38"/>
        <v>0</v>
      </c>
      <c r="J124" s="39" t="s">
        <v>319</v>
      </c>
      <c r="K124" s="55">
        <f>SUM(K116:K123)</f>
        <v>0</v>
      </c>
      <c r="L124" s="55">
        <f>SUM(L116:L123)</f>
        <v>0</v>
      </c>
      <c r="M124" s="40">
        <f>SUM(M116:M123)</f>
        <v>0</v>
      </c>
    </row>
    <row r="125" spans="1:24" x14ac:dyDescent="0.3">
      <c r="A125" s="117" t="s">
        <v>325</v>
      </c>
      <c r="B125" s="113" t="s">
        <v>335</v>
      </c>
      <c r="C125" s="58">
        <f t="shared" si="37"/>
        <v>0</v>
      </c>
      <c r="D125" s="118"/>
      <c r="E125" s="119"/>
      <c r="F125" s="119" t="s">
        <v>340</v>
      </c>
      <c r="G125" s="120">
        <v>2035</v>
      </c>
      <c r="H125" s="120" t="s">
        <v>327</v>
      </c>
      <c r="I125" s="50">
        <f t="shared" si="38"/>
        <v>0</v>
      </c>
      <c r="J125" s="26"/>
      <c r="M125" s="29"/>
      <c r="N125" s="25"/>
    </row>
    <row r="126" spans="1:24" x14ac:dyDescent="0.3">
      <c r="A126" s="117" t="s">
        <v>325</v>
      </c>
      <c r="B126" s="113" t="s">
        <v>339</v>
      </c>
      <c r="C126" s="58">
        <f t="shared" si="37"/>
        <v>0</v>
      </c>
      <c r="D126" s="118"/>
      <c r="E126" s="119"/>
      <c r="F126" s="119" t="s">
        <v>340</v>
      </c>
      <c r="G126" s="120"/>
      <c r="H126" s="120"/>
      <c r="I126" s="50">
        <f t="shared" si="38"/>
        <v>0</v>
      </c>
      <c r="J126" s="26"/>
      <c r="M126" s="29"/>
    </row>
    <row r="127" spans="1:24" x14ac:dyDescent="0.3">
      <c r="A127" s="117" t="s">
        <v>325</v>
      </c>
      <c r="B127" s="113" t="s">
        <v>337</v>
      </c>
      <c r="C127" s="58">
        <f t="shared" si="37"/>
        <v>0</v>
      </c>
      <c r="D127" s="118"/>
      <c r="E127" s="119"/>
      <c r="F127" s="119" t="s">
        <v>340</v>
      </c>
      <c r="G127" s="120"/>
      <c r="H127" s="120"/>
      <c r="I127" s="50">
        <f t="shared" si="38"/>
        <v>0</v>
      </c>
      <c r="J127" s="26"/>
      <c r="M127" s="29"/>
    </row>
    <row r="128" spans="1:24" x14ac:dyDescent="0.3">
      <c r="A128" s="117" t="s">
        <v>325</v>
      </c>
      <c r="B128" s="123" t="s">
        <v>338</v>
      </c>
      <c r="C128" s="58">
        <f t="shared" si="37"/>
        <v>0</v>
      </c>
      <c r="D128" s="118"/>
      <c r="E128" s="119"/>
      <c r="F128" s="119" t="s">
        <v>340</v>
      </c>
      <c r="G128" s="120"/>
      <c r="H128" s="120"/>
      <c r="I128" s="50">
        <f t="shared" si="38"/>
        <v>0</v>
      </c>
      <c r="J128" s="26"/>
      <c r="M128" s="29"/>
    </row>
    <row r="129" spans="1:24" ht="15.65" thickBot="1" x14ac:dyDescent="0.35">
      <c r="A129" s="30"/>
      <c r="B129" s="31"/>
      <c r="C129" s="55">
        <f>SUM(C116:C128)</f>
        <v>0</v>
      </c>
      <c r="D129" s="59">
        <f>SUM(D116:D128)</f>
        <v>0</v>
      </c>
      <c r="E129" s="45"/>
      <c r="F129" s="45"/>
      <c r="G129" s="45"/>
      <c r="H129" s="45"/>
      <c r="I129" s="55">
        <f>SUM(I116:I128)</f>
        <v>0</v>
      </c>
      <c r="J129" s="46"/>
      <c r="K129" s="31"/>
      <c r="L129" s="31"/>
      <c r="M129" s="32"/>
    </row>
    <row r="130" spans="1:24" x14ac:dyDescent="0.3">
      <c r="B130" s="63" t="str">
        <f>IF(N($C$31)=0,"",IF(ABS($D$129-1)&gt;=0.00005,"CHECK: shares add up to "&amp;FIXED(($D$129)*100,1)&amp;"%"&amp;", must be 100%",IF(SUMPRODUCT(($C$116:$C$128&gt;0)*(($G$116:$G$128&lt;2028)+($G$116:$G$128&gt;2035)&gt;0))&gt;0,"CHECK: a row with a share has no year between 2028 and 2035","OK: shares 100%, years complete")))</f>
        <v/>
      </c>
    </row>
    <row r="131" spans="1:24" ht="15.65" thickBot="1" x14ac:dyDescent="0.35"/>
    <row r="132" spans="1:24" ht="15.65" thickBot="1" x14ac:dyDescent="0.35">
      <c r="A132" s="47" t="s">
        <v>308</v>
      </c>
      <c r="B132" s="48" t="str">
        <f>B32</f>
        <v>Measure 6</v>
      </c>
      <c r="C132" s="28"/>
      <c r="D132" s="28"/>
      <c r="E132" s="150" t="s">
        <v>309</v>
      </c>
      <c r="F132" s="150"/>
      <c r="G132" s="150"/>
      <c r="H132" s="150"/>
      <c r="I132" s="28"/>
      <c r="J132" s="151" t="s">
        <v>310</v>
      </c>
      <c r="K132" s="152"/>
      <c r="L132" s="152"/>
      <c r="M132" s="153"/>
      <c r="O132" s="48" t="str">
        <f>B132</f>
        <v>Measure 6</v>
      </c>
    </row>
    <row r="133" spans="1:24" ht="30.05" x14ac:dyDescent="0.3">
      <c r="A133" s="49">
        <f>D32</f>
        <v>0</v>
      </c>
      <c r="B133" s="22" t="s">
        <v>311</v>
      </c>
      <c r="C133" s="6" t="s">
        <v>284</v>
      </c>
      <c r="D133" s="6" t="s">
        <v>312</v>
      </c>
      <c r="E133" s="6" t="s">
        <v>313</v>
      </c>
      <c r="F133" s="6" t="s">
        <v>314</v>
      </c>
      <c r="G133" s="6" t="s">
        <v>315</v>
      </c>
      <c r="H133" s="6" t="s">
        <v>316</v>
      </c>
      <c r="I133" s="36" t="s">
        <v>285</v>
      </c>
      <c r="J133" s="37" t="s">
        <v>317</v>
      </c>
      <c r="K133" s="6" t="s">
        <v>284</v>
      </c>
      <c r="L133" s="6" t="s">
        <v>285</v>
      </c>
      <c r="M133" s="38" t="s">
        <v>318</v>
      </c>
      <c r="O133" s="71" t="s">
        <v>317</v>
      </c>
      <c r="P133" s="72">
        <v>2028</v>
      </c>
      <c r="Q133" s="72">
        <v>2029</v>
      </c>
      <c r="R133" s="72">
        <v>2030</v>
      </c>
      <c r="S133" s="72">
        <v>2031</v>
      </c>
      <c r="T133" s="72">
        <v>2032</v>
      </c>
      <c r="U133" s="72">
        <v>2033</v>
      </c>
      <c r="V133" s="72">
        <v>2034</v>
      </c>
      <c r="W133" s="72">
        <v>2035</v>
      </c>
      <c r="X133" s="73" t="s">
        <v>319</v>
      </c>
    </row>
    <row r="134" spans="1:24" x14ac:dyDescent="0.3">
      <c r="A134" s="117" t="s">
        <v>320</v>
      </c>
      <c r="B134" s="116" t="s">
        <v>321</v>
      </c>
      <c r="C134" s="58">
        <f t="shared" ref="C134:C146" si="45">$A$133*D134</f>
        <v>0</v>
      </c>
      <c r="D134" s="118">
        <v>0.1</v>
      </c>
      <c r="E134" s="121"/>
      <c r="F134" s="121"/>
      <c r="G134" s="120">
        <v>2028</v>
      </c>
      <c r="H134" s="120" t="s">
        <v>324</v>
      </c>
      <c r="I134" s="60">
        <f t="shared" ref="I134:I146" si="46">C134*$E$19</f>
        <v>0</v>
      </c>
      <c r="J134" s="56">
        <v>2028</v>
      </c>
      <c r="K134" s="50">
        <f t="shared" ref="K134:K141" si="47">SUMIF($G$134:$G$146,J134,$C$134:$C$146)</f>
        <v>0</v>
      </c>
      <c r="L134" s="50">
        <f t="shared" ref="L134:L141" si="48">SUMIF($G$134:$G$146,J134,$I$134:$I$146)</f>
        <v>0</v>
      </c>
      <c r="M134" s="54">
        <f t="shared" ref="M134:M141" si="49">SUM(K134:L134)</f>
        <v>0</v>
      </c>
      <c r="O134" s="37" t="s">
        <v>284</v>
      </c>
      <c r="P134" s="50">
        <f t="shared" ref="P134:W134" si="50">SUMIF($G$134:$G$146,P133,$C$134:$C$146)</f>
        <v>0</v>
      </c>
      <c r="Q134" s="50">
        <f t="shared" si="50"/>
        <v>0</v>
      </c>
      <c r="R134" s="50">
        <f t="shared" si="50"/>
        <v>0</v>
      </c>
      <c r="S134" s="50">
        <f t="shared" si="50"/>
        <v>0</v>
      </c>
      <c r="T134" s="50">
        <f t="shared" si="50"/>
        <v>0</v>
      </c>
      <c r="U134" s="50">
        <f t="shared" si="50"/>
        <v>0</v>
      </c>
      <c r="V134" s="50">
        <f t="shared" si="50"/>
        <v>0</v>
      </c>
      <c r="W134" s="50">
        <f t="shared" si="50"/>
        <v>0</v>
      </c>
      <c r="X134" s="78">
        <f>SUM(P134:W134)</f>
        <v>0</v>
      </c>
    </row>
    <row r="135" spans="1:24" x14ac:dyDescent="0.3">
      <c r="A135" s="117" t="s">
        <v>320</v>
      </c>
      <c r="B135" s="116" t="s">
        <v>323</v>
      </c>
      <c r="C135" s="58">
        <f t="shared" si="45"/>
        <v>0</v>
      </c>
      <c r="D135" s="118">
        <v>0.1</v>
      </c>
      <c r="E135" s="119"/>
      <c r="F135" s="119"/>
      <c r="G135" s="120">
        <v>2029</v>
      </c>
      <c r="H135" s="120"/>
      <c r="I135" s="60">
        <f t="shared" si="46"/>
        <v>0</v>
      </c>
      <c r="J135" s="56">
        <v>2029</v>
      </c>
      <c r="K135" s="50">
        <f t="shared" si="47"/>
        <v>0</v>
      </c>
      <c r="L135" s="50">
        <f t="shared" si="48"/>
        <v>0</v>
      </c>
      <c r="M135" s="54">
        <f t="shared" si="49"/>
        <v>0</v>
      </c>
      <c r="O135" s="37" t="s">
        <v>285</v>
      </c>
      <c r="P135" s="50">
        <f t="shared" ref="P135:W135" si="51">SUMIF($G$134:$G$146,P133,$I$134:$I$146)</f>
        <v>0</v>
      </c>
      <c r="Q135" s="50">
        <f t="shared" si="51"/>
        <v>0</v>
      </c>
      <c r="R135" s="50">
        <f t="shared" si="51"/>
        <v>0</v>
      </c>
      <c r="S135" s="50">
        <f t="shared" si="51"/>
        <v>0</v>
      </c>
      <c r="T135" s="50">
        <f t="shared" si="51"/>
        <v>0</v>
      </c>
      <c r="U135" s="50">
        <f t="shared" si="51"/>
        <v>0</v>
      </c>
      <c r="V135" s="50">
        <f t="shared" si="51"/>
        <v>0</v>
      </c>
      <c r="W135" s="50">
        <f t="shared" si="51"/>
        <v>0</v>
      </c>
      <c r="X135" s="78">
        <f>SUM(P135:W135)</f>
        <v>0</v>
      </c>
    </row>
    <row r="136" spans="1:24" ht="30.7" thickBot="1" x14ac:dyDescent="0.35">
      <c r="A136" s="117" t="s">
        <v>325</v>
      </c>
      <c r="B136" s="116" t="s">
        <v>326</v>
      </c>
      <c r="C136" s="58">
        <f t="shared" si="45"/>
        <v>0</v>
      </c>
      <c r="D136" s="118">
        <v>0.1</v>
      </c>
      <c r="E136" s="119"/>
      <c r="F136" s="119"/>
      <c r="G136" s="120">
        <v>2029</v>
      </c>
      <c r="H136" s="120"/>
      <c r="I136" s="60">
        <f t="shared" si="46"/>
        <v>0</v>
      </c>
      <c r="J136" s="56">
        <v>2030</v>
      </c>
      <c r="K136" s="50">
        <f t="shared" si="47"/>
        <v>0</v>
      </c>
      <c r="L136" s="50">
        <f t="shared" si="48"/>
        <v>0</v>
      </c>
      <c r="M136" s="54">
        <f t="shared" si="49"/>
        <v>0</v>
      </c>
      <c r="O136" s="75" t="s">
        <v>318</v>
      </c>
      <c r="P136" s="79">
        <f t="shared" ref="P136:W136" si="52">SUM(P134:P135)</f>
        <v>0</v>
      </c>
      <c r="Q136" s="79">
        <f t="shared" si="52"/>
        <v>0</v>
      </c>
      <c r="R136" s="79">
        <f t="shared" si="52"/>
        <v>0</v>
      </c>
      <c r="S136" s="79">
        <f t="shared" si="52"/>
        <v>0</v>
      </c>
      <c r="T136" s="79">
        <f t="shared" si="52"/>
        <v>0</v>
      </c>
      <c r="U136" s="79">
        <f t="shared" si="52"/>
        <v>0</v>
      </c>
      <c r="V136" s="79">
        <f t="shared" si="52"/>
        <v>0</v>
      </c>
      <c r="W136" s="79">
        <f t="shared" si="52"/>
        <v>0</v>
      </c>
      <c r="X136" s="77">
        <f>SUM(P136:W136)</f>
        <v>0</v>
      </c>
    </row>
    <row r="137" spans="1:24" x14ac:dyDescent="0.3">
      <c r="A137" s="117" t="s">
        <v>320</v>
      </c>
      <c r="B137" s="116" t="s">
        <v>328</v>
      </c>
      <c r="C137" s="58">
        <f t="shared" si="45"/>
        <v>0</v>
      </c>
      <c r="D137" s="118">
        <v>0.1</v>
      </c>
      <c r="E137" s="119"/>
      <c r="F137" s="119"/>
      <c r="G137" s="120">
        <v>2029</v>
      </c>
      <c r="H137" s="120"/>
      <c r="I137" s="60">
        <f t="shared" si="46"/>
        <v>0</v>
      </c>
      <c r="J137" s="56">
        <v>2031</v>
      </c>
      <c r="K137" s="50">
        <f t="shared" si="47"/>
        <v>0</v>
      </c>
      <c r="L137" s="50">
        <f t="shared" si="48"/>
        <v>0</v>
      </c>
      <c r="M137" s="54">
        <f t="shared" si="49"/>
        <v>0</v>
      </c>
    </row>
    <row r="138" spans="1:24" x14ac:dyDescent="0.3">
      <c r="A138" s="117" t="s">
        <v>320</v>
      </c>
      <c r="B138" s="116" t="s">
        <v>330</v>
      </c>
      <c r="C138" s="58">
        <f t="shared" si="45"/>
        <v>0</v>
      </c>
      <c r="D138" s="118">
        <v>0.1</v>
      </c>
      <c r="E138" s="119"/>
      <c r="F138" s="119"/>
      <c r="G138" s="120">
        <v>2030</v>
      </c>
      <c r="H138" s="120"/>
      <c r="I138" s="60">
        <f t="shared" si="46"/>
        <v>0</v>
      </c>
      <c r="J138" s="56">
        <v>2032</v>
      </c>
      <c r="K138" s="50">
        <f t="shared" si="47"/>
        <v>0</v>
      </c>
      <c r="L138" s="50">
        <f t="shared" si="48"/>
        <v>0</v>
      </c>
      <c r="M138" s="54">
        <f t="shared" si="49"/>
        <v>0</v>
      </c>
    </row>
    <row r="139" spans="1:24" x14ac:dyDescent="0.3">
      <c r="A139" s="117" t="s">
        <v>325</v>
      </c>
      <c r="B139" s="116" t="s">
        <v>331</v>
      </c>
      <c r="C139" s="58">
        <f t="shared" si="45"/>
        <v>0</v>
      </c>
      <c r="D139" s="118">
        <v>0.1</v>
      </c>
      <c r="E139" s="119"/>
      <c r="F139" s="119"/>
      <c r="G139" s="120">
        <v>2030</v>
      </c>
      <c r="H139" s="120"/>
      <c r="I139" s="60">
        <f t="shared" si="46"/>
        <v>0</v>
      </c>
      <c r="J139" s="56">
        <v>2033</v>
      </c>
      <c r="K139" s="50">
        <f t="shared" si="47"/>
        <v>0</v>
      </c>
      <c r="L139" s="50">
        <f t="shared" si="48"/>
        <v>0</v>
      </c>
      <c r="M139" s="54">
        <f t="shared" si="49"/>
        <v>0</v>
      </c>
    </row>
    <row r="140" spans="1:24" x14ac:dyDescent="0.3">
      <c r="A140" s="117" t="s">
        <v>320</v>
      </c>
      <c r="B140" s="113" t="s">
        <v>332</v>
      </c>
      <c r="C140" s="58">
        <f t="shared" si="45"/>
        <v>0</v>
      </c>
      <c r="D140" s="118">
        <v>0.1</v>
      </c>
      <c r="E140" s="119"/>
      <c r="F140" s="119"/>
      <c r="G140" s="120">
        <v>2031</v>
      </c>
      <c r="H140" s="120"/>
      <c r="I140" s="60">
        <f t="shared" si="46"/>
        <v>0</v>
      </c>
      <c r="J140" s="56">
        <v>2034</v>
      </c>
      <c r="K140" s="50">
        <f t="shared" si="47"/>
        <v>0</v>
      </c>
      <c r="L140" s="50">
        <f t="shared" si="48"/>
        <v>0</v>
      </c>
      <c r="M140" s="54">
        <f t="shared" si="49"/>
        <v>0</v>
      </c>
    </row>
    <row r="141" spans="1:24" x14ac:dyDescent="0.3">
      <c r="A141" s="117" t="s">
        <v>320</v>
      </c>
      <c r="B141" s="116" t="s">
        <v>333</v>
      </c>
      <c r="C141" s="58">
        <f t="shared" si="45"/>
        <v>0</v>
      </c>
      <c r="D141" s="118">
        <v>0.1</v>
      </c>
      <c r="E141" s="119"/>
      <c r="F141" s="119"/>
      <c r="G141" s="120">
        <v>2032</v>
      </c>
      <c r="H141" s="120"/>
      <c r="I141" s="60">
        <f t="shared" si="46"/>
        <v>0</v>
      </c>
      <c r="J141" s="57">
        <v>2035</v>
      </c>
      <c r="K141" s="50">
        <f t="shared" si="47"/>
        <v>0</v>
      </c>
      <c r="L141" s="50">
        <f t="shared" si="48"/>
        <v>0</v>
      </c>
      <c r="M141" s="54">
        <f t="shared" si="49"/>
        <v>0</v>
      </c>
    </row>
    <row r="142" spans="1:24" ht="15.65" thickBot="1" x14ac:dyDescent="0.35">
      <c r="A142" s="117" t="s">
        <v>325</v>
      </c>
      <c r="B142" s="116" t="s">
        <v>334</v>
      </c>
      <c r="C142" s="58">
        <f t="shared" si="45"/>
        <v>0</v>
      </c>
      <c r="D142" s="118">
        <v>0.1</v>
      </c>
      <c r="E142" s="119"/>
      <c r="F142" s="119"/>
      <c r="G142" s="120">
        <v>2033</v>
      </c>
      <c r="H142" s="120"/>
      <c r="I142" s="60">
        <f t="shared" si="46"/>
        <v>0</v>
      </c>
      <c r="J142" s="39" t="s">
        <v>319</v>
      </c>
      <c r="K142" s="55">
        <f>SUM(K134:K141)</f>
        <v>0</v>
      </c>
      <c r="L142" s="55">
        <f>SUM(L134:L141)</f>
        <v>0</v>
      </c>
      <c r="M142" s="40">
        <f>SUM(M134:M141)</f>
        <v>0</v>
      </c>
    </row>
    <row r="143" spans="1:24" x14ac:dyDescent="0.3">
      <c r="A143" s="117" t="s">
        <v>325</v>
      </c>
      <c r="B143" s="113" t="s">
        <v>335</v>
      </c>
      <c r="C143" s="58">
        <f t="shared" si="45"/>
        <v>0</v>
      </c>
      <c r="D143" s="118">
        <v>0.1</v>
      </c>
      <c r="E143" s="119"/>
      <c r="F143" s="119"/>
      <c r="G143" s="120">
        <v>2034</v>
      </c>
      <c r="H143" s="120"/>
      <c r="I143" s="50">
        <f t="shared" si="46"/>
        <v>0</v>
      </c>
      <c r="J143" s="26"/>
      <c r="M143" s="29"/>
      <c r="N143" s="25"/>
    </row>
    <row r="144" spans="1:24" x14ac:dyDescent="0.3">
      <c r="A144" s="117" t="s">
        <v>325</v>
      </c>
      <c r="B144" s="113" t="s">
        <v>339</v>
      </c>
      <c r="C144" s="58">
        <f t="shared" si="45"/>
        <v>0</v>
      </c>
      <c r="D144" s="118"/>
      <c r="E144" s="119"/>
      <c r="F144" s="119"/>
      <c r="G144" s="120"/>
      <c r="H144" s="120"/>
      <c r="I144" s="50">
        <f t="shared" si="46"/>
        <v>0</v>
      </c>
      <c r="J144" s="26"/>
      <c r="M144" s="29"/>
    </row>
    <row r="145" spans="1:24" x14ac:dyDescent="0.3">
      <c r="A145" s="117" t="s">
        <v>325</v>
      </c>
      <c r="B145" s="113" t="s">
        <v>337</v>
      </c>
      <c r="C145" s="58">
        <f t="shared" si="45"/>
        <v>0</v>
      </c>
      <c r="D145" s="118"/>
      <c r="E145" s="119"/>
      <c r="F145" s="119" t="s">
        <v>340</v>
      </c>
      <c r="G145" s="120"/>
      <c r="H145" s="120"/>
      <c r="I145" s="50">
        <f t="shared" si="46"/>
        <v>0</v>
      </c>
      <c r="J145" s="26"/>
      <c r="M145" s="29"/>
    </row>
    <row r="146" spans="1:24" x14ac:dyDescent="0.3">
      <c r="A146" s="117" t="s">
        <v>325</v>
      </c>
      <c r="B146" s="123" t="s">
        <v>338</v>
      </c>
      <c r="C146" s="58">
        <f t="shared" si="45"/>
        <v>0</v>
      </c>
      <c r="D146" s="118"/>
      <c r="E146" s="119"/>
      <c r="F146" s="119" t="s">
        <v>340</v>
      </c>
      <c r="G146" s="120"/>
      <c r="H146" s="120"/>
      <c r="I146" s="50">
        <f t="shared" si="46"/>
        <v>0</v>
      </c>
      <c r="J146" s="26"/>
      <c r="M146" s="29"/>
    </row>
    <row r="147" spans="1:24" ht="15.65" thickBot="1" x14ac:dyDescent="0.35">
      <c r="A147" s="30"/>
      <c r="B147" s="31"/>
      <c r="C147" s="55">
        <f>SUM(C134:C146)</f>
        <v>0</v>
      </c>
      <c r="D147" s="59">
        <f>SUM(D134:D146)</f>
        <v>0.99999999999999989</v>
      </c>
      <c r="E147" s="45"/>
      <c r="F147" s="45"/>
      <c r="G147" s="45"/>
      <c r="H147" s="45"/>
      <c r="I147" s="55">
        <f>SUM(I134:I146)</f>
        <v>0</v>
      </c>
      <c r="J147" s="46"/>
      <c r="K147" s="31"/>
      <c r="L147" s="31"/>
      <c r="M147" s="32"/>
    </row>
    <row r="148" spans="1:24" x14ac:dyDescent="0.3">
      <c r="B148" s="63" t="str">
        <f>IF(N($C$32)=0,"",IF(ABS($D$147-1)&gt;=0.00005,"CHECK: shares add up to "&amp;FIXED(($D$147)*100,1)&amp;"%"&amp;", must be 100%",IF(SUMPRODUCT(($C$134:$C$146&gt;0)*(($G$134:$G$146&lt;2028)+($G$134:$G$146&gt;2035)&gt;0))&gt;0,"CHECK: a row with a share has no year between 2028 and 2035","OK: shares 100%, years complete")))</f>
        <v/>
      </c>
    </row>
    <row r="149" spans="1:24" ht="15.65" thickBot="1" x14ac:dyDescent="0.35"/>
    <row r="150" spans="1:24" ht="15.65" thickBot="1" x14ac:dyDescent="0.35">
      <c r="A150" s="47" t="s">
        <v>308</v>
      </c>
      <c r="B150" s="48" t="str">
        <f>B33</f>
        <v>Measure 7</v>
      </c>
      <c r="C150" s="28"/>
      <c r="D150" s="28"/>
      <c r="E150" s="150" t="s">
        <v>309</v>
      </c>
      <c r="F150" s="150"/>
      <c r="G150" s="150"/>
      <c r="H150" s="150"/>
      <c r="I150" s="28"/>
      <c r="J150" s="151" t="s">
        <v>310</v>
      </c>
      <c r="K150" s="152"/>
      <c r="L150" s="152"/>
      <c r="M150" s="153"/>
      <c r="O150" s="48" t="str">
        <f>B150</f>
        <v>Measure 7</v>
      </c>
    </row>
    <row r="151" spans="1:24" ht="30.05" x14ac:dyDescent="0.3">
      <c r="A151" s="49">
        <f>D33</f>
        <v>0</v>
      </c>
      <c r="B151" s="22" t="s">
        <v>311</v>
      </c>
      <c r="C151" s="6" t="s">
        <v>284</v>
      </c>
      <c r="D151" s="6" t="s">
        <v>312</v>
      </c>
      <c r="E151" s="6" t="s">
        <v>313</v>
      </c>
      <c r="F151" s="6" t="s">
        <v>314</v>
      </c>
      <c r="G151" s="6" t="s">
        <v>315</v>
      </c>
      <c r="H151" s="6" t="s">
        <v>316</v>
      </c>
      <c r="I151" s="36" t="s">
        <v>285</v>
      </c>
      <c r="J151" s="37" t="s">
        <v>317</v>
      </c>
      <c r="K151" s="6" t="s">
        <v>284</v>
      </c>
      <c r="L151" s="6" t="s">
        <v>285</v>
      </c>
      <c r="M151" s="38" t="s">
        <v>318</v>
      </c>
      <c r="O151" s="71" t="s">
        <v>317</v>
      </c>
      <c r="P151" s="72">
        <v>2028</v>
      </c>
      <c r="Q151" s="72">
        <v>2029</v>
      </c>
      <c r="R151" s="72">
        <v>2030</v>
      </c>
      <c r="S151" s="72">
        <v>2031</v>
      </c>
      <c r="T151" s="72">
        <v>2032</v>
      </c>
      <c r="U151" s="72">
        <v>2033</v>
      </c>
      <c r="V151" s="72">
        <v>2034</v>
      </c>
      <c r="W151" s="72">
        <v>2035</v>
      </c>
      <c r="X151" s="73" t="s">
        <v>319</v>
      </c>
    </row>
    <row r="152" spans="1:24" x14ac:dyDescent="0.3">
      <c r="A152" s="117" t="s">
        <v>320</v>
      </c>
      <c r="B152" s="116" t="s">
        <v>321</v>
      </c>
      <c r="C152" s="58">
        <f t="shared" ref="C152:C164" si="53">$A$151*D152</f>
        <v>0</v>
      </c>
      <c r="D152" s="118">
        <v>0.1</v>
      </c>
      <c r="E152" s="121"/>
      <c r="F152" s="121"/>
      <c r="G152" s="120">
        <v>2028</v>
      </c>
      <c r="H152" s="120"/>
      <c r="I152" s="60">
        <f t="shared" ref="I152:I164" si="54">C152*$E$19</f>
        <v>0</v>
      </c>
      <c r="J152" s="56">
        <v>2028</v>
      </c>
      <c r="K152" s="50">
        <f t="shared" ref="K152:K159" si="55">SUMIF($G$152:$G$164,J152,$C$152:$C$164)</f>
        <v>0</v>
      </c>
      <c r="L152" s="50">
        <f t="shared" ref="L152:L159" si="56">SUMIF($G$152:$G$164,J152,$I$152:$I$164)</f>
        <v>0</v>
      </c>
      <c r="M152" s="54">
        <f t="shared" ref="M152:M159" si="57">SUM(K152:L152)</f>
        <v>0</v>
      </c>
      <c r="O152" s="37" t="s">
        <v>284</v>
      </c>
      <c r="P152" s="50">
        <f t="shared" ref="P152:W152" si="58">SUMIF($G$152:$G$164,P151,$C$152:$C$164)</f>
        <v>0</v>
      </c>
      <c r="Q152" s="50">
        <f t="shared" si="58"/>
        <v>0</v>
      </c>
      <c r="R152" s="50">
        <f t="shared" si="58"/>
        <v>0</v>
      </c>
      <c r="S152" s="50">
        <f t="shared" si="58"/>
        <v>0</v>
      </c>
      <c r="T152" s="50">
        <f t="shared" si="58"/>
        <v>0</v>
      </c>
      <c r="U152" s="50">
        <f t="shared" si="58"/>
        <v>0</v>
      </c>
      <c r="V152" s="50">
        <f t="shared" si="58"/>
        <v>0</v>
      </c>
      <c r="W152" s="50">
        <f t="shared" si="58"/>
        <v>0</v>
      </c>
      <c r="X152" s="78">
        <f>SUM(P152:W152)</f>
        <v>0</v>
      </c>
    </row>
    <row r="153" spans="1:24" x14ac:dyDescent="0.3">
      <c r="A153" s="117" t="s">
        <v>320</v>
      </c>
      <c r="B153" s="116" t="s">
        <v>323</v>
      </c>
      <c r="C153" s="58">
        <f t="shared" si="53"/>
        <v>0</v>
      </c>
      <c r="D153" s="118">
        <v>0.1</v>
      </c>
      <c r="E153" s="119"/>
      <c r="F153" s="119"/>
      <c r="G153" s="120">
        <v>2029</v>
      </c>
      <c r="H153" s="120"/>
      <c r="I153" s="60">
        <f t="shared" si="54"/>
        <v>0</v>
      </c>
      <c r="J153" s="56">
        <v>2029</v>
      </c>
      <c r="K153" s="50">
        <f t="shared" si="55"/>
        <v>0</v>
      </c>
      <c r="L153" s="50">
        <f t="shared" si="56"/>
        <v>0</v>
      </c>
      <c r="M153" s="54">
        <f t="shared" si="57"/>
        <v>0</v>
      </c>
      <c r="O153" s="37" t="s">
        <v>285</v>
      </c>
      <c r="P153" s="50">
        <f t="shared" ref="P153:W153" si="59">SUMIF($G$152:$G$164,P151,$I$152:$I$164)</f>
        <v>0</v>
      </c>
      <c r="Q153" s="50">
        <f t="shared" si="59"/>
        <v>0</v>
      </c>
      <c r="R153" s="50">
        <f t="shared" si="59"/>
        <v>0</v>
      </c>
      <c r="S153" s="50">
        <f t="shared" si="59"/>
        <v>0</v>
      </c>
      <c r="T153" s="50">
        <f t="shared" si="59"/>
        <v>0</v>
      </c>
      <c r="U153" s="50">
        <f t="shared" si="59"/>
        <v>0</v>
      </c>
      <c r="V153" s="50">
        <f t="shared" si="59"/>
        <v>0</v>
      </c>
      <c r="W153" s="50">
        <f t="shared" si="59"/>
        <v>0</v>
      </c>
      <c r="X153" s="78">
        <f>SUM(P153:W153)</f>
        <v>0</v>
      </c>
    </row>
    <row r="154" spans="1:24" ht="30.7" thickBot="1" x14ac:dyDescent="0.35">
      <c r="A154" s="117" t="s">
        <v>325</v>
      </c>
      <c r="B154" s="116" t="s">
        <v>326</v>
      </c>
      <c r="C154" s="58">
        <f t="shared" si="53"/>
        <v>0</v>
      </c>
      <c r="D154" s="118">
        <v>0.1</v>
      </c>
      <c r="E154" s="119"/>
      <c r="F154" s="119"/>
      <c r="G154" s="120">
        <v>2029</v>
      </c>
      <c r="H154" s="120"/>
      <c r="I154" s="60">
        <f t="shared" si="54"/>
        <v>0</v>
      </c>
      <c r="J154" s="56">
        <v>2030</v>
      </c>
      <c r="K154" s="50">
        <f t="shared" si="55"/>
        <v>0</v>
      </c>
      <c r="L154" s="50">
        <f t="shared" si="56"/>
        <v>0</v>
      </c>
      <c r="M154" s="54">
        <f t="shared" si="57"/>
        <v>0</v>
      </c>
      <c r="O154" s="75" t="s">
        <v>318</v>
      </c>
      <c r="P154" s="79">
        <f t="shared" ref="P154:W154" si="60">SUM(P152:P153)</f>
        <v>0</v>
      </c>
      <c r="Q154" s="79">
        <f t="shared" si="60"/>
        <v>0</v>
      </c>
      <c r="R154" s="79">
        <f t="shared" si="60"/>
        <v>0</v>
      </c>
      <c r="S154" s="79">
        <f t="shared" si="60"/>
        <v>0</v>
      </c>
      <c r="T154" s="79">
        <f t="shared" si="60"/>
        <v>0</v>
      </c>
      <c r="U154" s="79">
        <f t="shared" si="60"/>
        <v>0</v>
      </c>
      <c r="V154" s="79">
        <f t="shared" si="60"/>
        <v>0</v>
      </c>
      <c r="W154" s="79">
        <f t="shared" si="60"/>
        <v>0</v>
      </c>
      <c r="X154" s="77">
        <f>SUM(P154:W154)</f>
        <v>0</v>
      </c>
    </row>
    <row r="155" spans="1:24" x14ac:dyDescent="0.3">
      <c r="A155" s="117" t="s">
        <v>320</v>
      </c>
      <c r="B155" s="116" t="s">
        <v>328</v>
      </c>
      <c r="C155" s="58">
        <f t="shared" si="53"/>
        <v>0</v>
      </c>
      <c r="D155" s="118">
        <v>0.1</v>
      </c>
      <c r="E155" s="119"/>
      <c r="F155" s="119"/>
      <c r="G155" s="120">
        <v>2029</v>
      </c>
      <c r="H155" s="120"/>
      <c r="I155" s="60">
        <f t="shared" si="54"/>
        <v>0</v>
      </c>
      <c r="J155" s="56">
        <v>2031</v>
      </c>
      <c r="K155" s="50">
        <f t="shared" si="55"/>
        <v>0</v>
      </c>
      <c r="L155" s="50">
        <f t="shared" si="56"/>
        <v>0</v>
      </c>
      <c r="M155" s="54">
        <f t="shared" si="57"/>
        <v>0</v>
      </c>
    </row>
    <row r="156" spans="1:24" x14ac:dyDescent="0.3">
      <c r="A156" s="117" t="s">
        <v>320</v>
      </c>
      <c r="B156" s="116" t="s">
        <v>330</v>
      </c>
      <c r="C156" s="58">
        <f t="shared" si="53"/>
        <v>0</v>
      </c>
      <c r="D156" s="118">
        <v>0.1</v>
      </c>
      <c r="E156" s="119"/>
      <c r="F156" s="119"/>
      <c r="G156" s="120">
        <v>2030</v>
      </c>
      <c r="H156" s="120"/>
      <c r="I156" s="60">
        <f t="shared" si="54"/>
        <v>0</v>
      </c>
      <c r="J156" s="56">
        <v>2032</v>
      </c>
      <c r="K156" s="50">
        <f t="shared" si="55"/>
        <v>0</v>
      </c>
      <c r="L156" s="50">
        <f t="shared" si="56"/>
        <v>0</v>
      </c>
      <c r="M156" s="54">
        <f t="shared" si="57"/>
        <v>0</v>
      </c>
    </row>
    <row r="157" spans="1:24" x14ac:dyDescent="0.3">
      <c r="A157" s="117" t="s">
        <v>325</v>
      </c>
      <c r="B157" s="116" t="s">
        <v>331</v>
      </c>
      <c r="C157" s="58">
        <f t="shared" si="53"/>
        <v>0</v>
      </c>
      <c r="D157" s="118">
        <v>0.1</v>
      </c>
      <c r="E157" s="119"/>
      <c r="F157" s="119"/>
      <c r="G157" s="120">
        <v>2030</v>
      </c>
      <c r="H157" s="120"/>
      <c r="I157" s="60">
        <f t="shared" si="54"/>
        <v>0</v>
      </c>
      <c r="J157" s="56">
        <v>2033</v>
      </c>
      <c r="K157" s="50">
        <f t="shared" si="55"/>
        <v>0</v>
      </c>
      <c r="L157" s="50">
        <f t="shared" si="56"/>
        <v>0</v>
      </c>
      <c r="M157" s="54">
        <f t="shared" si="57"/>
        <v>0</v>
      </c>
    </row>
    <row r="158" spans="1:24" x14ac:dyDescent="0.3">
      <c r="A158" s="117" t="s">
        <v>320</v>
      </c>
      <c r="B158" s="113" t="s">
        <v>332</v>
      </c>
      <c r="C158" s="58">
        <f t="shared" si="53"/>
        <v>0</v>
      </c>
      <c r="D158" s="118">
        <v>0.1</v>
      </c>
      <c r="E158" s="119"/>
      <c r="F158" s="119"/>
      <c r="G158" s="120">
        <v>2031</v>
      </c>
      <c r="H158" s="120"/>
      <c r="I158" s="60">
        <f t="shared" si="54"/>
        <v>0</v>
      </c>
      <c r="J158" s="56">
        <v>2034</v>
      </c>
      <c r="K158" s="50">
        <f t="shared" si="55"/>
        <v>0</v>
      </c>
      <c r="L158" s="50">
        <f t="shared" si="56"/>
        <v>0</v>
      </c>
      <c r="M158" s="54">
        <f t="shared" si="57"/>
        <v>0</v>
      </c>
    </row>
    <row r="159" spans="1:24" x14ac:dyDescent="0.3">
      <c r="A159" s="117" t="s">
        <v>320</v>
      </c>
      <c r="B159" s="116" t="s">
        <v>333</v>
      </c>
      <c r="C159" s="58">
        <f t="shared" si="53"/>
        <v>0</v>
      </c>
      <c r="D159" s="118">
        <v>0.1</v>
      </c>
      <c r="E159" s="119"/>
      <c r="F159" s="119"/>
      <c r="G159" s="120">
        <v>2032</v>
      </c>
      <c r="H159" s="120"/>
      <c r="I159" s="60">
        <f t="shared" si="54"/>
        <v>0</v>
      </c>
      <c r="J159" s="57">
        <v>2035</v>
      </c>
      <c r="K159" s="50">
        <f t="shared" si="55"/>
        <v>0</v>
      </c>
      <c r="L159" s="50">
        <f t="shared" si="56"/>
        <v>0</v>
      </c>
      <c r="M159" s="54">
        <f t="shared" si="57"/>
        <v>0</v>
      </c>
    </row>
    <row r="160" spans="1:24" ht="15.65" thickBot="1" x14ac:dyDescent="0.35">
      <c r="A160" s="117" t="s">
        <v>325</v>
      </c>
      <c r="B160" s="116" t="s">
        <v>334</v>
      </c>
      <c r="C160" s="58">
        <f t="shared" si="53"/>
        <v>0</v>
      </c>
      <c r="D160" s="118">
        <v>0.1</v>
      </c>
      <c r="E160" s="119"/>
      <c r="F160" s="119"/>
      <c r="G160" s="120">
        <v>2033</v>
      </c>
      <c r="H160" s="120"/>
      <c r="I160" s="60">
        <f t="shared" si="54"/>
        <v>0</v>
      </c>
      <c r="J160" s="39" t="s">
        <v>319</v>
      </c>
      <c r="K160" s="55">
        <f>SUM(K152:K159)</f>
        <v>0</v>
      </c>
      <c r="L160" s="55">
        <f>SUM(L152:L159)</f>
        <v>0</v>
      </c>
      <c r="M160" s="40">
        <f>SUM(M152:M159)</f>
        <v>0</v>
      </c>
    </row>
    <row r="161" spans="1:24" x14ac:dyDescent="0.3">
      <c r="A161" s="117" t="s">
        <v>325</v>
      </c>
      <c r="B161" s="113" t="s">
        <v>335</v>
      </c>
      <c r="C161" s="58">
        <f t="shared" si="53"/>
        <v>0</v>
      </c>
      <c r="D161" s="118">
        <v>0.1</v>
      </c>
      <c r="E161" s="119"/>
      <c r="F161" s="119"/>
      <c r="G161" s="120">
        <v>2034</v>
      </c>
      <c r="H161" s="120"/>
      <c r="I161" s="50">
        <f t="shared" si="54"/>
        <v>0</v>
      </c>
      <c r="J161" s="26"/>
      <c r="M161" s="29"/>
      <c r="N161" s="25"/>
    </row>
    <row r="162" spans="1:24" x14ac:dyDescent="0.3">
      <c r="A162" s="117" t="s">
        <v>325</v>
      </c>
      <c r="B162" s="113" t="s">
        <v>339</v>
      </c>
      <c r="C162" s="58">
        <f t="shared" si="53"/>
        <v>0</v>
      </c>
      <c r="D162" s="118"/>
      <c r="E162" s="119"/>
      <c r="F162" s="119"/>
      <c r="G162" s="120"/>
      <c r="H162" s="120"/>
      <c r="I162" s="50">
        <f t="shared" si="54"/>
        <v>0</v>
      </c>
      <c r="J162" s="26"/>
      <c r="M162" s="29"/>
    </row>
    <row r="163" spans="1:24" x14ac:dyDescent="0.3">
      <c r="A163" s="117" t="s">
        <v>325</v>
      </c>
      <c r="B163" s="113" t="s">
        <v>337</v>
      </c>
      <c r="C163" s="58">
        <f t="shared" si="53"/>
        <v>0</v>
      </c>
      <c r="D163" s="118"/>
      <c r="E163" s="119"/>
      <c r="F163" s="119" t="s">
        <v>340</v>
      </c>
      <c r="G163" s="120"/>
      <c r="H163" s="120"/>
      <c r="I163" s="50">
        <f t="shared" si="54"/>
        <v>0</v>
      </c>
      <c r="J163" s="26"/>
      <c r="M163" s="29"/>
    </row>
    <row r="164" spans="1:24" x14ac:dyDescent="0.3">
      <c r="A164" s="117" t="s">
        <v>325</v>
      </c>
      <c r="B164" s="123" t="s">
        <v>338</v>
      </c>
      <c r="C164" s="58">
        <f t="shared" si="53"/>
        <v>0</v>
      </c>
      <c r="D164" s="118"/>
      <c r="E164" s="119"/>
      <c r="F164" s="119" t="s">
        <v>340</v>
      </c>
      <c r="G164" s="120"/>
      <c r="H164" s="120"/>
      <c r="I164" s="50">
        <f t="shared" si="54"/>
        <v>0</v>
      </c>
      <c r="J164" s="26"/>
      <c r="M164" s="29"/>
    </row>
    <row r="165" spans="1:24" ht="15.65" thickBot="1" x14ac:dyDescent="0.35">
      <c r="A165" s="30"/>
      <c r="B165" s="31"/>
      <c r="C165" s="55">
        <f>SUM(C152:C164)</f>
        <v>0</v>
      </c>
      <c r="D165" s="59">
        <f>SUM(D152:D164)</f>
        <v>0.99999999999999989</v>
      </c>
      <c r="E165" s="45"/>
      <c r="F165" s="45"/>
      <c r="G165" s="45"/>
      <c r="H165" s="45"/>
      <c r="I165" s="55">
        <f>SUM(I152:I164)</f>
        <v>0</v>
      </c>
      <c r="J165" s="46"/>
      <c r="K165" s="31"/>
      <c r="L165" s="31"/>
      <c r="M165" s="32"/>
    </row>
    <row r="166" spans="1:24" x14ac:dyDescent="0.3">
      <c r="B166" s="63" t="str">
        <f>IF(N($C$33)=0,"",IF(ABS($D$165-1)&gt;=0.00005,"CHECK: shares add up to "&amp;FIXED(($D$165)*100,1)&amp;"%"&amp;", must be 100%",IF(SUMPRODUCT(($C$152:$C$164&gt;0)*(($G$152:$G$164&lt;2028)+($G$152:$G$164&gt;2035)&gt;0))&gt;0,"CHECK: a row with a share has no year between 2028 and 2035","OK: shares 100%, years complete")))</f>
        <v/>
      </c>
    </row>
    <row r="167" spans="1:24" ht="15.65" thickBot="1" x14ac:dyDescent="0.35"/>
    <row r="168" spans="1:24" ht="15.65" thickBot="1" x14ac:dyDescent="0.35">
      <c r="A168" s="47" t="s">
        <v>308</v>
      </c>
      <c r="B168" s="48" t="str">
        <f>B34</f>
        <v>Measure 8</v>
      </c>
      <c r="C168" s="28"/>
      <c r="D168" s="28"/>
      <c r="E168" s="150" t="s">
        <v>309</v>
      </c>
      <c r="F168" s="150"/>
      <c r="G168" s="150"/>
      <c r="H168" s="150"/>
      <c r="I168" s="28"/>
      <c r="J168" s="151" t="s">
        <v>310</v>
      </c>
      <c r="K168" s="152"/>
      <c r="L168" s="152"/>
      <c r="M168" s="153"/>
      <c r="O168" s="48" t="str">
        <f>B168</f>
        <v>Measure 8</v>
      </c>
    </row>
    <row r="169" spans="1:24" ht="30.05" x14ac:dyDescent="0.3">
      <c r="A169" s="49">
        <f>D34</f>
        <v>0</v>
      </c>
      <c r="B169" s="22" t="s">
        <v>311</v>
      </c>
      <c r="C169" s="6" t="s">
        <v>284</v>
      </c>
      <c r="D169" s="6" t="s">
        <v>312</v>
      </c>
      <c r="E169" s="6" t="s">
        <v>313</v>
      </c>
      <c r="F169" s="6" t="s">
        <v>314</v>
      </c>
      <c r="G169" s="6" t="s">
        <v>315</v>
      </c>
      <c r="H169" s="6" t="s">
        <v>316</v>
      </c>
      <c r="I169" s="36" t="s">
        <v>285</v>
      </c>
      <c r="J169" s="37" t="s">
        <v>317</v>
      </c>
      <c r="K169" s="6" t="s">
        <v>284</v>
      </c>
      <c r="L169" s="6" t="s">
        <v>285</v>
      </c>
      <c r="M169" s="38" t="s">
        <v>318</v>
      </c>
      <c r="O169" s="71" t="s">
        <v>317</v>
      </c>
      <c r="P169" s="72">
        <v>2028</v>
      </c>
      <c r="Q169" s="72">
        <v>2029</v>
      </c>
      <c r="R169" s="72">
        <v>2030</v>
      </c>
      <c r="S169" s="72">
        <v>2031</v>
      </c>
      <c r="T169" s="72">
        <v>2032</v>
      </c>
      <c r="U169" s="72">
        <v>2033</v>
      </c>
      <c r="V169" s="72">
        <v>2034</v>
      </c>
      <c r="W169" s="72">
        <v>2035</v>
      </c>
      <c r="X169" s="73" t="s">
        <v>319</v>
      </c>
    </row>
    <row r="170" spans="1:24" x14ac:dyDescent="0.3">
      <c r="A170" s="117" t="s">
        <v>320</v>
      </c>
      <c r="B170" s="116" t="s">
        <v>321</v>
      </c>
      <c r="C170" s="58">
        <f t="shared" ref="C170:C182" si="61">$A$169*D170</f>
        <v>0</v>
      </c>
      <c r="D170" s="118">
        <v>0.1</v>
      </c>
      <c r="E170" s="121"/>
      <c r="F170" s="121"/>
      <c r="G170" s="120">
        <v>2028</v>
      </c>
      <c r="H170" s="120"/>
      <c r="I170" s="60">
        <f t="shared" ref="I170:I182" si="62">C170*$E$19</f>
        <v>0</v>
      </c>
      <c r="J170" s="56">
        <v>2028</v>
      </c>
      <c r="K170" s="50">
        <f t="shared" ref="K170:K177" si="63">SUMIF($G$170:$G$182,J170,$C$170:$C$182)</f>
        <v>0</v>
      </c>
      <c r="L170" s="50">
        <f t="shared" ref="L170:L177" si="64">SUMIF($G$170:$G$182,J170,$I$170:$I$182)</f>
        <v>0</v>
      </c>
      <c r="M170" s="54">
        <f t="shared" ref="M170:M177" si="65">SUM(K170:L170)</f>
        <v>0</v>
      </c>
      <c r="O170" s="37" t="s">
        <v>284</v>
      </c>
      <c r="P170" s="50">
        <f t="shared" ref="P170:W170" si="66">SUMIF($G$170:$G$182,P169,$C$170:$C$182)</f>
        <v>0</v>
      </c>
      <c r="Q170" s="50">
        <f t="shared" si="66"/>
        <v>0</v>
      </c>
      <c r="R170" s="50">
        <f t="shared" si="66"/>
        <v>0</v>
      </c>
      <c r="S170" s="50">
        <f t="shared" si="66"/>
        <v>0</v>
      </c>
      <c r="T170" s="50">
        <f t="shared" si="66"/>
        <v>0</v>
      </c>
      <c r="U170" s="50">
        <f t="shared" si="66"/>
        <v>0</v>
      </c>
      <c r="V170" s="50">
        <f t="shared" si="66"/>
        <v>0</v>
      </c>
      <c r="W170" s="50">
        <f t="shared" si="66"/>
        <v>0</v>
      </c>
      <c r="X170" s="78">
        <f>SUM(P170:W170)</f>
        <v>0</v>
      </c>
    </row>
    <row r="171" spans="1:24" x14ac:dyDescent="0.3">
      <c r="A171" s="117" t="s">
        <v>320</v>
      </c>
      <c r="B171" s="116" t="s">
        <v>323</v>
      </c>
      <c r="C171" s="58">
        <f t="shared" si="61"/>
        <v>0</v>
      </c>
      <c r="D171" s="118">
        <v>0.1</v>
      </c>
      <c r="E171" s="119"/>
      <c r="F171" s="119"/>
      <c r="G171" s="120">
        <v>2029</v>
      </c>
      <c r="H171" s="120"/>
      <c r="I171" s="60">
        <f t="shared" si="62"/>
        <v>0</v>
      </c>
      <c r="J171" s="56">
        <v>2029</v>
      </c>
      <c r="K171" s="50">
        <f t="shared" si="63"/>
        <v>0</v>
      </c>
      <c r="L171" s="50">
        <f t="shared" si="64"/>
        <v>0</v>
      </c>
      <c r="M171" s="54">
        <f t="shared" si="65"/>
        <v>0</v>
      </c>
      <c r="O171" s="37" t="s">
        <v>285</v>
      </c>
      <c r="P171" s="50">
        <f t="shared" ref="P171:W171" si="67">SUMIF($G$170:$G$182,P169,$I$170:$I$182)</f>
        <v>0</v>
      </c>
      <c r="Q171" s="50">
        <f t="shared" si="67"/>
        <v>0</v>
      </c>
      <c r="R171" s="50">
        <f t="shared" si="67"/>
        <v>0</v>
      </c>
      <c r="S171" s="50">
        <f t="shared" si="67"/>
        <v>0</v>
      </c>
      <c r="T171" s="50">
        <f t="shared" si="67"/>
        <v>0</v>
      </c>
      <c r="U171" s="50">
        <f t="shared" si="67"/>
        <v>0</v>
      </c>
      <c r="V171" s="50">
        <f t="shared" si="67"/>
        <v>0</v>
      </c>
      <c r="W171" s="50">
        <f t="shared" si="67"/>
        <v>0</v>
      </c>
      <c r="X171" s="78">
        <f>SUM(P171:W171)</f>
        <v>0</v>
      </c>
    </row>
    <row r="172" spans="1:24" ht="30.7" thickBot="1" x14ac:dyDescent="0.35">
      <c r="A172" s="117" t="s">
        <v>325</v>
      </c>
      <c r="B172" s="116" t="s">
        <v>326</v>
      </c>
      <c r="C172" s="58">
        <f t="shared" si="61"/>
        <v>0</v>
      </c>
      <c r="D172" s="118">
        <v>0.1</v>
      </c>
      <c r="E172" s="119"/>
      <c r="F172" s="119"/>
      <c r="G172" s="120">
        <v>2029</v>
      </c>
      <c r="H172" s="120"/>
      <c r="I172" s="60">
        <f t="shared" si="62"/>
        <v>0</v>
      </c>
      <c r="J172" s="56">
        <v>2030</v>
      </c>
      <c r="K172" s="50">
        <f t="shared" si="63"/>
        <v>0</v>
      </c>
      <c r="L172" s="50">
        <f t="shared" si="64"/>
        <v>0</v>
      </c>
      <c r="M172" s="54">
        <f t="shared" si="65"/>
        <v>0</v>
      </c>
      <c r="O172" s="75" t="s">
        <v>318</v>
      </c>
      <c r="P172" s="79">
        <f t="shared" ref="P172:W172" si="68">SUM(P170:P171)</f>
        <v>0</v>
      </c>
      <c r="Q172" s="79">
        <f t="shared" si="68"/>
        <v>0</v>
      </c>
      <c r="R172" s="79">
        <f t="shared" si="68"/>
        <v>0</v>
      </c>
      <c r="S172" s="79">
        <f t="shared" si="68"/>
        <v>0</v>
      </c>
      <c r="T172" s="79">
        <f t="shared" si="68"/>
        <v>0</v>
      </c>
      <c r="U172" s="79">
        <f t="shared" si="68"/>
        <v>0</v>
      </c>
      <c r="V172" s="79">
        <f t="shared" si="68"/>
        <v>0</v>
      </c>
      <c r="W172" s="79">
        <f t="shared" si="68"/>
        <v>0</v>
      </c>
      <c r="X172" s="77">
        <f>SUM(P172:W172)</f>
        <v>0</v>
      </c>
    </row>
    <row r="173" spans="1:24" x14ac:dyDescent="0.3">
      <c r="A173" s="117" t="s">
        <v>320</v>
      </c>
      <c r="B173" s="116" t="s">
        <v>328</v>
      </c>
      <c r="C173" s="58">
        <f t="shared" si="61"/>
        <v>0</v>
      </c>
      <c r="D173" s="118">
        <v>0.1</v>
      </c>
      <c r="E173" s="119"/>
      <c r="F173" s="119"/>
      <c r="G173" s="120">
        <v>2029</v>
      </c>
      <c r="H173" s="120"/>
      <c r="I173" s="60">
        <f t="shared" si="62"/>
        <v>0</v>
      </c>
      <c r="J173" s="56">
        <v>2031</v>
      </c>
      <c r="K173" s="50">
        <f t="shared" si="63"/>
        <v>0</v>
      </c>
      <c r="L173" s="50">
        <f t="shared" si="64"/>
        <v>0</v>
      </c>
      <c r="M173" s="54">
        <f t="shared" si="65"/>
        <v>0</v>
      </c>
    </row>
    <row r="174" spans="1:24" x14ac:dyDescent="0.3">
      <c r="A174" s="117" t="s">
        <v>320</v>
      </c>
      <c r="B174" s="116" t="s">
        <v>330</v>
      </c>
      <c r="C174" s="58">
        <f t="shared" si="61"/>
        <v>0</v>
      </c>
      <c r="D174" s="118">
        <v>0.1</v>
      </c>
      <c r="E174" s="119"/>
      <c r="F174" s="119"/>
      <c r="G174" s="120">
        <v>2030</v>
      </c>
      <c r="H174" s="120"/>
      <c r="I174" s="60">
        <f t="shared" si="62"/>
        <v>0</v>
      </c>
      <c r="J174" s="56">
        <v>2032</v>
      </c>
      <c r="K174" s="50">
        <f t="shared" si="63"/>
        <v>0</v>
      </c>
      <c r="L174" s="50">
        <f t="shared" si="64"/>
        <v>0</v>
      </c>
      <c r="M174" s="54">
        <f t="shared" si="65"/>
        <v>0</v>
      </c>
    </row>
    <row r="175" spans="1:24" x14ac:dyDescent="0.3">
      <c r="A175" s="117" t="s">
        <v>325</v>
      </c>
      <c r="B175" s="116" t="s">
        <v>331</v>
      </c>
      <c r="C175" s="58">
        <f t="shared" si="61"/>
        <v>0</v>
      </c>
      <c r="D175" s="118">
        <v>0.1</v>
      </c>
      <c r="E175" s="119"/>
      <c r="F175" s="119"/>
      <c r="G175" s="120">
        <v>2030</v>
      </c>
      <c r="H175" s="120"/>
      <c r="I175" s="60">
        <f t="shared" si="62"/>
        <v>0</v>
      </c>
      <c r="J175" s="56">
        <v>2033</v>
      </c>
      <c r="K175" s="50">
        <f t="shared" si="63"/>
        <v>0</v>
      </c>
      <c r="L175" s="50">
        <f t="shared" si="64"/>
        <v>0</v>
      </c>
      <c r="M175" s="54">
        <f t="shared" si="65"/>
        <v>0</v>
      </c>
    </row>
    <row r="176" spans="1:24" x14ac:dyDescent="0.3">
      <c r="A176" s="117" t="s">
        <v>320</v>
      </c>
      <c r="B176" s="113" t="s">
        <v>332</v>
      </c>
      <c r="C176" s="58">
        <f t="shared" si="61"/>
        <v>0</v>
      </c>
      <c r="D176" s="118">
        <v>0.1</v>
      </c>
      <c r="E176" s="119"/>
      <c r="F176" s="119"/>
      <c r="G176" s="120">
        <v>2031</v>
      </c>
      <c r="H176" s="120"/>
      <c r="I176" s="60">
        <f t="shared" si="62"/>
        <v>0</v>
      </c>
      <c r="J176" s="56">
        <v>2034</v>
      </c>
      <c r="K176" s="50">
        <f t="shared" si="63"/>
        <v>0</v>
      </c>
      <c r="L176" s="50">
        <f t="shared" si="64"/>
        <v>0</v>
      </c>
      <c r="M176" s="54">
        <f t="shared" si="65"/>
        <v>0</v>
      </c>
    </row>
    <row r="177" spans="1:24" x14ac:dyDescent="0.3">
      <c r="A177" s="117" t="s">
        <v>320</v>
      </c>
      <c r="B177" s="116" t="s">
        <v>333</v>
      </c>
      <c r="C177" s="58">
        <f t="shared" si="61"/>
        <v>0</v>
      </c>
      <c r="D177" s="118">
        <v>0.1</v>
      </c>
      <c r="E177" s="119"/>
      <c r="F177" s="119"/>
      <c r="G177" s="120">
        <v>2032</v>
      </c>
      <c r="H177" s="120"/>
      <c r="I177" s="60">
        <f t="shared" si="62"/>
        <v>0</v>
      </c>
      <c r="J177" s="57">
        <v>2035</v>
      </c>
      <c r="K177" s="50">
        <f t="shared" si="63"/>
        <v>0</v>
      </c>
      <c r="L177" s="50">
        <f t="shared" si="64"/>
        <v>0</v>
      </c>
      <c r="M177" s="54">
        <f t="shared" si="65"/>
        <v>0</v>
      </c>
    </row>
    <row r="178" spans="1:24" ht="15.65" thickBot="1" x14ac:dyDescent="0.35">
      <c r="A178" s="117" t="s">
        <v>325</v>
      </c>
      <c r="B178" s="116" t="s">
        <v>334</v>
      </c>
      <c r="C178" s="58">
        <f t="shared" si="61"/>
        <v>0</v>
      </c>
      <c r="D178" s="118">
        <v>0.1</v>
      </c>
      <c r="E178" s="119"/>
      <c r="F178" s="119"/>
      <c r="G178" s="120">
        <v>2033</v>
      </c>
      <c r="H178" s="120"/>
      <c r="I178" s="60">
        <f t="shared" si="62"/>
        <v>0</v>
      </c>
      <c r="J178" s="39" t="s">
        <v>319</v>
      </c>
      <c r="K178" s="55">
        <f>SUM(K170:K177)</f>
        <v>0</v>
      </c>
      <c r="L178" s="55">
        <f>SUM(L170:L177)</f>
        <v>0</v>
      </c>
      <c r="M178" s="40">
        <f>SUM(M170:M177)</f>
        <v>0</v>
      </c>
    </row>
    <row r="179" spans="1:24" x14ac:dyDescent="0.3">
      <c r="A179" s="117" t="s">
        <v>325</v>
      </c>
      <c r="B179" s="113" t="s">
        <v>335</v>
      </c>
      <c r="C179" s="58">
        <f t="shared" si="61"/>
        <v>0</v>
      </c>
      <c r="D179" s="118">
        <v>0.1</v>
      </c>
      <c r="E179" s="119"/>
      <c r="F179" s="119"/>
      <c r="G179" s="120">
        <v>2034</v>
      </c>
      <c r="H179" s="120"/>
      <c r="I179" s="50">
        <f t="shared" si="62"/>
        <v>0</v>
      </c>
      <c r="J179" s="26"/>
      <c r="M179" s="29"/>
      <c r="N179" s="25"/>
    </row>
    <row r="180" spans="1:24" x14ac:dyDescent="0.3">
      <c r="A180" s="117" t="s">
        <v>325</v>
      </c>
      <c r="B180" s="113" t="s">
        <v>339</v>
      </c>
      <c r="C180" s="58">
        <f t="shared" si="61"/>
        <v>0</v>
      </c>
      <c r="D180" s="118"/>
      <c r="E180" s="119"/>
      <c r="F180" s="119"/>
      <c r="G180" s="120"/>
      <c r="H180" s="120"/>
      <c r="I180" s="50">
        <f t="shared" si="62"/>
        <v>0</v>
      </c>
      <c r="J180" s="26"/>
      <c r="M180" s="29"/>
    </row>
    <row r="181" spans="1:24" x14ac:dyDescent="0.3">
      <c r="A181" s="117" t="s">
        <v>325</v>
      </c>
      <c r="B181" s="113" t="s">
        <v>337</v>
      </c>
      <c r="C181" s="58">
        <f t="shared" si="61"/>
        <v>0</v>
      </c>
      <c r="D181" s="118"/>
      <c r="E181" s="119"/>
      <c r="F181" s="119" t="s">
        <v>340</v>
      </c>
      <c r="G181" s="120"/>
      <c r="H181" s="120"/>
      <c r="I181" s="50">
        <f t="shared" si="62"/>
        <v>0</v>
      </c>
      <c r="J181" s="26"/>
      <c r="M181" s="29"/>
    </row>
    <row r="182" spans="1:24" x14ac:dyDescent="0.3">
      <c r="A182" s="117" t="s">
        <v>325</v>
      </c>
      <c r="B182" s="123" t="s">
        <v>338</v>
      </c>
      <c r="C182" s="58">
        <f t="shared" si="61"/>
        <v>0</v>
      </c>
      <c r="D182" s="118"/>
      <c r="E182" s="119"/>
      <c r="F182" s="119" t="s">
        <v>340</v>
      </c>
      <c r="G182" s="120"/>
      <c r="H182" s="120"/>
      <c r="I182" s="50">
        <f t="shared" si="62"/>
        <v>0</v>
      </c>
      <c r="J182" s="26"/>
      <c r="M182" s="29"/>
    </row>
    <row r="183" spans="1:24" ht="15.65" thickBot="1" x14ac:dyDescent="0.35">
      <c r="A183" s="30"/>
      <c r="B183" s="31"/>
      <c r="C183" s="55">
        <f>SUM(C170:C182)</f>
        <v>0</v>
      </c>
      <c r="D183" s="59">
        <f>SUM(D170:D182)</f>
        <v>0.99999999999999989</v>
      </c>
      <c r="E183" s="45"/>
      <c r="F183" s="45"/>
      <c r="G183" s="45"/>
      <c r="H183" s="45"/>
      <c r="I183" s="55">
        <f>SUM(I170:I182)</f>
        <v>0</v>
      </c>
      <c r="J183" s="46"/>
      <c r="K183" s="31"/>
      <c r="L183" s="31"/>
      <c r="M183" s="32"/>
    </row>
    <row r="184" spans="1:24" x14ac:dyDescent="0.3">
      <c r="B184" s="63" t="str">
        <f>IF(N($C$34)=0,"",IF(ABS($D$183-1)&gt;=0.00005,"CHECK: shares add up to "&amp;FIXED(($D$183)*100,1)&amp;"%"&amp;", must be 100%",IF(SUMPRODUCT(($C$170:$C$182&gt;0)*(($G$170:$G$182&lt;2028)+($G$170:$G$182&gt;2035)&gt;0))&gt;0,"CHECK: a row with a share has no year between 2028 and 2035","OK: shares 100%, years complete")))</f>
        <v/>
      </c>
    </row>
    <row r="185" spans="1:24" ht="15.65" thickBot="1" x14ac:dyDescent="0.35"/>
    <row r="186" spans="1:24" ht="15.65" thickBot="1" x14ac:dyDescent="0.35">
      <c r="A186" s="47" t="s">
        <v>308</v>
      </c>
      <c r="B186" s="48" t="str">
        <f>B35</f>
        <v>Measure 9</v>
      </c>
      <c r="C186" s="28"/>
      <c r="D186" s="28"/>
      <c r="E186" s="150" t="s">
        <v>309</v>
      </c>
      <c r="F186" s="150"/>
      <c r="G186" s="150"/>
      <c r="H186" s="150"/>
      <c r="I186" s="28"/>
      <c r="J186" s="151" t="s">
        <v>310</v>
      </c>
      <c r="K186" s="152"/>
      <c r="L186" s="152"/>
      <c r="M186" s="153"/>
      <c r="O186" s="48" t="str">
        <f>B186</f>
        <v>Measure 9</v>
      </c>
    </row>
    <row r="187" spans="1:24" ht="30.05" x14ac:dyDescent="0.3">
      <c r="A187" s="49">
        <f>D35</f>
        <v>0</v>
      </c>
      <c r="B187" s="22" t="s">
        <v>311</v>
      </c>
      <c r="C187" s="6" t="s">
        <v>284</v>
      </c>
      <c r="D187" s="6" t="s">
        <v>312</v>
      </c>
      <c r="E187" s="6" t="s">
        <v>313</v>
      </c>
      <c r="F187" s="6" t="s">
        <v>314</v>
      </c>
      <c r="G187" s="6" t="s">
        <v>315</v>
      </c>
      <c r="H187" s="6" t="s">
        <v>316</v>
      </c>
      <c r="I187" s="36" t="s">
        <v>285</v>
      </c>
      <c r="J187" s="37" t="s">
        <v>317</v>
      </c>
      <c r="K187" s="6" t="s">
        <v>284</v>
      </c>
      <c r="L187" s="6" t="s">
        <v>285</v>
      </c>
      <c r="M187" s="38" t="s">
        <v>318</v>
      </c>
      <c r="O187" s="71" t="s">
        <v>317</v>
      </c>
      <c r="P187" s="72">
        <v>2028</v>
      </c>
      <c r="Q187" s="72">
        <v>2029</v>
      </c>
      <c r="R187" s="72">
        <v>2030</v>
      </c>
      <c r="S187" s="72">
        <v>2031</v>
      </c>
      <c r="T187" s="72">
        <v>2032</v>
      </c>
      <c r="U187" s="72">
        <v>2033</v>
      </c>
      <c r="V187" s="72">
        <v>2034</v>
      </c>
      <c r="W187" s="72">
        <v>2035</v>
      </c>
      <c r="X187" s="73" t="s">
        <v>319</v>
      </c>
    </row>
    <row r="188" spans="1:24" x14ac:dyDescent="0.3">
      <c r="A188" s="117" t="s">
        <v>320</v>
      </c>
      <c r="B188" s="116" t="s">
        <v>321</v>
      </c>
      <c r="C188" s="58">
        <f t="shared" ref="C188:C200" si="69">$A$187*D188</f>
        <v>0</v>
      </c>
      <c r="D188" s="118">
        <v>0.1</v>
      </c>
      <c r="E188" s="121"/>
      <c r="F188" s="121"/>
      <c r="G188" s="120">
        <v>2028</v>
      </c>
      <c r="H188" s="120"/>
      <c r="I188" s="60">
        <f t="shared" ref="I188:I200" si="70">C188*$E$19</f>
        <v>0</v>
      </c>
      <c r="J188" s="56">
        <v>2028</v>
      </c>
      <c r="K188" s="50">
        <f t="shared" ref="K188:K195" si="71">SUMIF($G$188:$G$200,J188,$C$188:$C$200)</f>
        <v>0</v>
      </c>
      <c r="L188" s="50">
        <f t="shared" ref="L188:L195" si="72">SUMIF($G$188:$G$200,J188,$I$188:$I$200)</f>
        <v>0</v>
      </c>
      <c r="M188" s="54">
        <f t="shared" ref="M188:M195" si="73">SUM(K188:L188)</f>
        <v>0</v>
      </c>
      <c r="O188" s="37" t="s">
        <v>284</v>
      </c>
      <c r="P188" s="50">
        <f t="shared" ref="P188:W188" si="74">SUMIF($G$188:$G$200,P187,$C$188:$C$200)</f>
        <v>0</v>
      </c>
      <c r="Q188" s="50">
        <f t="shared" si="74"/>
        <v>0</v>
      </c>
      <c r="R188" s="50">
        <f t="shared" si="74"/>
        <v>0</v>
      </c>
      <c r="S188" s="50">
        <f t="shared" si="74"/>
        <v>0</v>
      </c>
      <c r="T188" s="50">
        <f t="shared" si="74"/>
        <v>0</v>
      </c>
      <c r="U188" s="50">
        <f t="shared" si="74"/>
        <v>0</v>
      </c>
      <c r="V188" s="50">
        <f t="shared" si="74"/>
        <v>0</v>
      </c>
      <c r="W188" s="50">
        <f t="shared" si="74"/>
        <v>0</v>
      </c>
      <c r="X188" s="78">
        <f>SUM(P188:W188)</f>
        <v>0</v>
      </c>
    </row>
    <row r="189" spans="1:24" x14ac:dyDescent="0.3">
      <c r="A189" s="117" t="s">
        <v>320</v>
      </c>
      <c r="B189" s="116" t="s">
        <v>323</v>
      </c>
      <c r="C189" s="58">
        <f t="shared" si="69"/>
        <v>0</v>
      </c>
      <c r="D189" s="118">
        <v>0.1</v>
      </c>
      <c r="E189" s="119"/>
      <c r="F189" s="119"/>
      <c r="G189" s="120">
        <v>2029</v>
      </c>
      <c r="H189" s="120"/>
      <c r="I189" s="60">
        <f t="shared" si="70"/>
        <v>0</v>
      </c>
      <c r="J189" s="56">
        <v>2029</v>
      </c>
      <c r="K189" s="50">
        <f t="shared" si="71"/>
        <v>0</v>
      </c>
      <c r="L189" s="50">
        <f t="shared" si="72"/>
        <v>0</v>
      </c>
      <c r="M189" s="54">
        <f t="shared" si="73"/>
        <v>0</v>
      </c>
      <c r="O189" s="37" t="s">
        <v>285</v>
      </c>
      <c r="P189" s="50">
        <f t="shared" ref="P189:W189" si="75">SUMIF($G$188:$G$200,P187,$I$188:$I$200)</f>
        <v>0</v>
      </c>
      <c r="Q189" s="50">
        <f t="shared" si="75"/>
        <v>0</v>
      </c>
      <c r="R189" s="50">
        <f t="shared" si="75"/>
        <v>0</v>
      </c>
      <c r="S189" s="50">
        <f t="shared" si="75"/>
        <v>0</v>
      </c>
      <c r="T189" s="50">
        <f t="shared" si="75"/>
        <v>0</v>
      </c>
      <c r="U189" s="50">
        <f t="shared" si="75"/>
        <v>0</v>
      </c>
      <c r="V189" s="50">
        <f t="shared" si="75"/>
        <v>0</v>
      </c>
      <c r="W189" s="50">
        <f t="shared" si="75"/>
        <v>0</v>
      </c>
      <c r="X189" s="78">
        <f>SUM(P189:W189)</f>
        <v>0</v>
      </c>
    </row>
    <row r="190" spans="1:24" ht="30.7" thickBot="1" x14ac:dyDescent="0.35">
      <c r="A190" s="117" t="s">
        <v>325</v>
      </c>
      <c r="B190" s="116" t="s">
        <v>326</v>
      </c>
      <c r="C190" s="58">
        <f t="shared" si="69"/>
        <v>0</v>
      </c>
      <c r="D190" s="118">
        <v>0.1</v>
      </c>
      <c r="E190" s="119"/>
      <c r="F190" s="119"/>
      <c r="G190" s="120">
        <v>2029</v>
      </c>
      <c r="H190" s="120"/>
      <c r="I190" s="60">
        <f t="shared" si="70"/>
        <v>0</v>
      </c>
      <c r="J190" s="56">
        <v>2030</v>
      </c>
      <c r="K190" s="50">
        <f t="shared" si="71"/>
        <v>0</v>
      </c>
      <c r="L190" s="50">
        <f t="shared" si="72"/>
        <v>0</v>
      </c>
      <c r="M190" s="54">
        <f t="shared" si="73"/>
        <v>0</v>
      </c>
      <c r="O190" s="75" t="s">
        <v>318</v>
      </c>
      <c r="P190" s="79">
        <f t="shared" ref="P190:W190" si="76">SUM(P188:P189)</f>
        <v>0</v>
      </c>
      <c r="Q190" s="79">
        <f t="shared" si="76"/>
        <v>0</v>
      </c>
      <c r="R190" s="79">
        <f t="shared" si="76"/>
        <v>0</v>
      </c>
      <c r="S190" s="79">
        <f t="shared" si="76"/>
        <v>0</v>
      </c>
      <c r="T190" s="79">
        <f t="shared" si="76"/>
        <v>0</v>
      </c>
      <c r="U190" s="79">
        <f t="shared" si="76"/>
        <v>0</v>
      </c>
      <c r="V190" s="79">
        <f t="shared" si="76"/>
        <v>0</v>
      </c>
      <c r="W190" s="79">
        <f t="shared" si="76"/>
        <v>0</v>
      </c>
      <c r="X190" s="77">
        <f>SUM(P190:W190)</f>
        <v>0</v>
      </c>
    </row>
    <row r="191" spans="1:24" x14ac:dyDescent="0.3">
      <c r="A191" s="117" t="s">
        <v>320</v>
      </c>
      <c r="B191" s="116" t="s">
        <v>328</v>
      </c>
      <c r="C191" s="58">
        <f t="shared" si="69"/>
        <v>0</v>
      </c>
      <c r="D191" s="118">
        <v>0.1</v>
      </c>
      <c r="E191" s="119"/>
      <c r="F191" s="119"/>
      <c r="G191" s="120">
        <v>2029</v>
      </c>
      <c r="H191" s="120"/>
      <c r="I191" s="60">
        <f t="shared" si="70"/>
        <v>0</v>
      </c>
      <c r="J191" s="56">
        <v>2031</v>
      </c>
      <c r="K191" s="50">
        <f t="shared" si="71"/>
        <v>0</v>
      </c>
      <c r="L191" s="50">
        <f t="shared" si="72"/>
        <v>0</v>
      </c>
      <c r="M191" s="54">
        <f t="shared" si="73"/>
        <v>0</v>
      </c>
    </row>
    <row r="192" spans="1:24" x14ac:dyDescent="0.3">
      <c r="A192" s="117" t="s">
        <v>320</v>
      </c>
      <c r="B192" s="116" t="s">
        <v>330</v>
      </c>
      <c r="C192" s="58">
        <f t="shared" si="69"/>
        <v>0</v>
      </c>
      <c r="D192" s="118">
        <v>0.1</v>
      </c>
      <c r="E192" s="119"/>
      <c r="F192" s="119"/>
      <c r="G192" s="120">
        <v>2030</v>
      </c>
      <c r="H192" s="120"/>
      <c r="I192" s="60">
        <f t="shared" si="70"/>
        <v>0</v>
      </c>
      <c r="J192" s="56">
        <v>2032</v>
      </c>
      <c r="K192" s="50">
        <f t="shared" si="71"/>
        <v>0</v>
      </c>
      <c r="L192" s="50">
        <f t="shared" si="72"/>
        <v>0</v>
      </c>
      <c r="M192" s="54">
        <f t="shared" si="73"/>
        <v>0</v>
      </c>
    </row>
    <row r="193" spans="1:24" x14ac:dyDescent="0.3">
      <c r="A193" s="117" t="s">
        <v>325</v>
      </c>
      <c r="B193" s="116" t="s">
        <v>331</v>
      </c>
      <c r="C193" s="58">
        <f t="shared" si="69"/>
        <v>0</v>
      </c>
      <c r="D193" s="118">
        <v>0.1</v>
      </c>
      <c r="E193" s="119"/>
      <c r="F193" s="119"/>
      <c r="G193" s="120">
        <v>2030</v>
      </c>
      <c r="H193" s="120"/>
      <c r="I193" s="60">
        <f t="shared" si="70"/>
        <v>0</v>
      </c>
      <c r="J193" s="56">
        <v>2033</v>
      </c>
      <c r="K193" s="50">
        <f t="shared" si="71"/>
        <v>0</v>
      </c>
      <c r="L193" s="50">
        <f t="shared" si="72"/>
        <v>0</v>
      </c>
      <c r="M193" s="54">
        <f t="shared" si="73"/>
        <v>0</v>
      </c>
    </row>
    <row r="194" spans="1:24" x14ac:dyDescent="0.3">
      <c r="A194" s="117" t="s">
        <v>320</v>
      </c>
      <c r="B194" s="113" t="s">
        <v>332</v>
      </c>
      <c r="C194" s="58">
        <f t="shared" si="69"/>
        <v>0</v>
      </c>
      <c r="D194" s="118">
        <v>0.1</v>
      </c>
      <c r="E194" s="119"/>
      <c r="F194" s="119"/>
      <c r="G194" s="120">
        <v>2031</v>
      </c>
      <c r="H194" s="120"/>
      <c r="I194" s="60">
        <f t="shared" si="70"/>
        <v>0</v>
      </c>
      <c r="J194" s="56">
        <v>2034</v>
      </c>
      <c r="K194" s="50">
        <f t="shared" si="71"/>
        <v>0</v>
      </c>
      <c r="L194" s="50">
        <f t="shared" si="72"/>
        <v>0</v>
      </c>
      <c r="M194" s="54">
        <f t="shared" si="73"/>
        <v>0</v>
      </c>
    </row>
    <row r="195" spans="1:24" x14ac:dyDescent="0.3">
      <c r="A195" s="117" t="s">
        <v>320</v>
      </c>
      <c r="B195" s="116" t="s">
        <v>333</v>
      </c>
      <c r="C195" s="58">
        <f t="shared" si="69"/>
        <v>0</v>
      </c>
      <c r="D195" s="118">
        <v>0.1</v>
      </c>
      <c r="E195" s="119"/>
      <c r="F195" s="119"/>
      <c r="G195" s="120">
        <v>2032</v>
      </c>
      <c r="H195" s="120"/>
      <c r="I195" s="60">
        <f t="shared" si="70"/>
        <v>0</v>
      </c>
      <c r="J195" s="57">
        <v>2035</v>
      </c>
      <c r="K195" s="50">
        <f t="shared" si="71"/>
        <v>0</v>
      </c>
      <c r="L195" s="50">
        <f t="shared" si="72"/>
        <v>0</v>
      </c>
      <c r="M195" s="54">
        <f t="shared" si="73"/>
        <v>0</v>
      </c>
    </row>
    <row r="196" spans="1:24" ht="15.65" thickBot="1" x14ac:dyDescent="0.35">
      <c r="A196" s="117" t="s">
        <v>325</v>
      </c>
      <c r="B196" s="116" t="s">
        <v>334</v>
      </c>
      <c r="C196" s="58">
        <f t="shared" si="69"/>
        <v>0</v>
      </c>
      <c r="D196" s="118">
        <v>0.1</v>
      </c>
      <c r="E196" s="119"/>
      <c r="F196" s="119"/>
      <c r="G196" s="120">
        <v>2033</v>
      </c>
      <c r="H196" s="120"/>
      <c r="I196" s="60">
        <f t="shared" si="70"/>
        <v>0</v>
      </c>
      <c r="J196" s="39" t="s">
        <v>319</v>
      </c>
      <c r="K196" s="55">
        <f>SUM(K188:K195)</f>
        <v>0</v>
      </c>
      <c r="L196" s="55">
        <f>SUM(L188:L195)</f>
        <v>0</v>
      </c>
      <c r="M196" s="40">
        <f>SUM(M188:M195)</f>
        <v>0</v>
      </c>
    </row>
    <row r="197" spans="1:24" x14ac:dyDescent="0.3">
      <c r="A197" s="117" t="s">
        <v>325</v>
      </c>
      <c r="B197" s="113" t="s">
        <v>335</v>
      </c>
      <c r="C197" s="58">
        <f t="shared" si="69"/>
        <v>0</v>
      </c>
      <c r="D197" s="118">
        <v>0.1</v>
      </c>
      <c r="E197" s="119"/>
      <c r="F197" s="119" t="s">
        <v>340</v>
      </c>
      <c r="G197" s="120">
        <v>2034</v>
      </c>
      <c r="H197" s="120"/>
      <c r="I197" s="50">
        <f t="shared" si="70"/>
        <v>0</v>
      </c>
      <c r="J197" s="26"/>
      <c r="M197" s="29"/>
      <c r="N197" s="25"/>
    </row>
    <row r="198" spans="1:24" x14ac:dyDescent="0.3">
      <c r="A198" s="117" t="s">
        <v>325</v>
      </c>
      <c r="B198" s="113" t="s">
        <v>339</v>
      </c>
      <c r="C198" s="58">
        <f t="shared" si="69"/>
        <v>0</v>
      </c>
      <c r="D198" s="118"/>
      <c r="E198" s="119"/>
      <c r="F198" s="119" t="s">
        <v>340</v>
      </c>
      <c r="G198" s="120"/>
      <c r="H198" s="120"/>
      <c r="I198" s="50">
        <f t="shared" si="70"/>
        <v>0</v>
      </c>
      <c r="J198" s="26"/>
      <c r="M198" s="29"/>
    </row>
    <row r="199" spans="1:24" x14ac:dyDescent="0.3">
      <c r="A199" s="117" t="s">
        <v>325</v>
      </c>
      <c r="B199" s="113" t="s">
        <v>337</v>
      </c>
      <c r="C199" s="58">
        <f t="shared" si="69"/>
        <v>0</v>
      </c>
      <c r="D199" s="118"/>
      <c r="E199" s="119"/>
      <c r="F199" s="119" t="s">
        <v>340</v>
      </c>
      <c r="G199" s="120"/>
      <c r="H199" s="120"/>
      <c r="I199" s="50">
        <f t="shared" si="70"/>
        <v>0</v>
      </c>
      <c r="J199" s="26"/>
      <c r="M199" s="29"/>
    </row>
    <row r="200" spans="1:24" x14ac:dyDescent="0.3">
      <c r="A200" s="117" t="s">
        <v>325</v>
      </c>
      <c r="B200" s="123" t="s">
        <v>338</v>
      </c>
      <c r="C200" s="58">
        <f t="shared" si="69"/>
        <v>0</v>
      </c>
      <c r="D200" s="118"/>
      <c r="E200" s="119"/>
      <c r="F200" s="119" t="s">
        <v>340</v>
      </c>
      <c r="G200" s="120"/>
      <c r="H200" s="120"/>
      <c r="I200" s="50">
        <f t="shared" si="70"/>
        <v>0</v>
      </c>
      <c r="J200" s="26"/>
      <c r="M200" s="29"/>
    </row>
    <row r="201" spans="1:24" ht="15.65" thickBot="1" x14ac:dyDescent="0.35">
      <c r="A201" s="30"/>
      <c r="B201" s="31"/>
      <c r="C201" s="55">
        <f>SUM(C188:C200)</f>
        <v>0</v>
      </c>
      <c r="D201" s="59">
        <f>SUM(D188:D200)</f>
        <v>0.99999999999999989</v>
      </c>
      <c r="E201" s="45"/>
      <c r="F201" s="45"/>
      <c r="G201" s="45"/>
      <c r="H201" s="45"/>
      <c r="I201" s="55">
        <f>SUM(I188:I200)</f>
        <v>0</v>
      </c>
      <c r="J201" s="46"/>
      <c r="K201" s="31"/>
      <c r="L201" s="31"/>
      <c r="M201" s="32"/>
    </row>
    <row r="202" spans="1:24" x14ac:dyDescent="0.3">
      <c r="B202" s="63" t="str">
        <f>IF(N($C$35)=0,"",IF(ABS($D$201-1)&gt;=0.00005,"CHECK: shares add up to "&amp;FIXED(($D$201)*100,1)&amp;"%"&amp;", must be 100%",IF(SUMPRODUCT(($C$188:$C$200&gt;0)*(($G$188:$G$200&lt;2028)+($G$188:$G$200&gt;2035)&gt;0))&gt;0,"CHECK: a row with a share has no year between 2028 and 2035","OK: shares 100%, years complete")))</f>
        <v/>
      </c>
    </row>
    <row r="203" spans="1:24" ht="15.65" thickBot="1" x14ac:dyDescent="0.35"/>
    <row r="204" spans="1:24" ht="15.65" thickBot="1" x14ac:dyDescent="0.35">
      <c r="A204" s="47" t="s">
        <v>308</v>
      </c>
      <c r="B204" s="48" t="str">
        <f>B36</f>
        <v>Measure 10</v>
      </c>
      <c r="C204" s="28"/>
      <c r="D204" s="28"/>
      <c r="E204" s="150" t="s">
        <v>309</v>
      </c>
      <c r="F204" s="150"/>
      <c r="G204" s="150"/>
      <c r="H204" s="150"/>
      <c r="I204" s="28"/>
      <c r="J204" s="151" t="s">
        <v>310</v>
      </c>
      <c r="K204" s="152"/>
      <c r="L204" s="152"/>
      <c r="M204" s="153"/>
      <c r="O204" s="48" t="str">
        <f>B204</f>
        <v>Measure 10</v>
      </c>
    </row>
    <row r="205" spans="1:24" ht="30.05" x14ac:dyDescent="0.3">
      <c r="A205" s="49">
        <f>D36</f>
        <v>0</v>
      </c>
      <c r="B205" s="22" t="s">
        <v>311</v>
      </c>
      <c r="C205" s="6" t="s">
        <v>284</v>
      </c>
      <c r="D205" s="6" t="s">
        <v>312</v>
      </c>
      <c r="E205" s="6" t="s">
        <v>313</v>
      </c>
      <c r="F205" s="6" t="s">
        <v>314</v>
      </c>
      <c r="G205" s="6" t="s">
        <v>315</v>
      </c>
      <c r="H205" s="6" t="s">
        <v>316</v>
      </c>
      <c r="I205" s="36" t="s">
        <v>285</v>
      </c>
      <c r="J205" s="37" t="s">
        <v>317</v>
      </c>
      <c r="K205" s="6" t="s">
        <v>284</v>
      </c>
      <c r="L205" s="6" t="s">
        <v>285</v>
      </c>
      <c r="M205" s="38" t="s">
        <v>318</v>
      </c>
      <c r="O205" s="71" t="s">
        <v>317</v>
      </c>
      <c r="P205" s="72">
        <v>2028</v>
      </c>
      <c r="Q205" s="72">
        <v>2029</v>
      </c>
      <c r="R205" s="72">
        <v>2030</v>
      </c>
      <c r="S205" s="72">
        <v>2031</v>
      </c>
      <c r="T205" s="72">
        <v>2032</v>
      </c>
      <c r="U205" s="72">
        <v>2033</v>
      </c>
      <c r="V205" s="72">
        <v>2034</v>
      </c>
      <c r="W205" s="72">
        <v>2035</v>
      </c>
      <c r="X205" s="73" t="s">
        <v>319</v>
      </c>
    </row>
    <row r="206" spans="1:24" x14ac:dyDescent="0.3">
      <c r="A206" s="117" t="s">
        <v>320</v>
      </c>
      <c r="B206" s="116" t="s">
        <v>321</v>
      </c>
      <c r="C206" s="58">
        <f t="shared" ref="C206:C218" si="77">$A$205*D206</f>
        <v>0</v>
      </c>
      <c r="D206" s="118">
        <v>0.1</v>
      </c>
      <c r="E206" s="121"/>
      <c r="F206" s="121"/>
      <c r="G206" s="120">
        <v>2028</v>
      </c>
      <c r="H206" s="120"/>
      <c r="I206" s="60">
        <f t="shared" ref="I206:I218" si="78">C206*$E$19</f>
        <v>0</v>
      </c>
      <c r="J206" s="56">
        <v>2028</v>
      </c>
      <c r="K206" s="50">
        <f t="shared" ref="K206:K213" si="79">SUMIF($G$206:$G$218,J206,$C$206:$C$218)</f>
        <v>0</v>
      </c>
      <c r="L206" s="50">
        <f t="shared" ref="L206:L213" si="80">SUMIF($G$206:$G$218,J206,$I$206:$I$218)</f>
        <v>0</v>
      </c>
      <c r="M206" s="54">
        <f t="shared" ref="M206:M213" si="81">SUM(K206:L206)</f>
        <v>0</v>
      </c>
      <c r="O206" s="37" t="s">
        <v>284</v>
      </c>
      <c r="P206" s="50">
        <f t="shared" ref="P206:W206" si="82">SUMIF($G$206:$G$218,P205,$C$206:$C$218)</f>
        <v>0</v>
      </c>
      <c r="Q206" s="50">
        <f t="shared" si="82"/>
        <v>0</v>
      </c>
      <c r="R206" s="50">
        <f t="shared" si="82"/>
        <v>0</v>
      </c>
      <c r="S206" s="50">
        <f t="shared" si="82"/>
        <v>0</v>
      </c>
      <c r="T206" s="50">
        <f t="shared" si="82"/>
        <v>0</v>
      </c>
      <c r="U206" s="50">
        <f t="shared" si="82"/>
        <v>0</v>
      </c>
      <c r="V206" s="50">
        <f t="shared" si="82"/>
        <v>0</v>
      </c>
      <c r="W206" s="50">
        <f t="shared" si="82"/>
        <v>0</v>
      </c>
      <c r="X206" s="78">
        <f>SUM(P206:W206)</f>
        <v>0</v>
      </c>
    </row>
    <row r="207" spans="1:24" x14ac:dyDescent="0.3">
      <c r="A207" s="117" t="s">
        <v>320</v>
      </c>
      <c r="B207" s="116" t="s">
        <v>323</v>
      </c>
      <c r="C207" s="58">
        <f t="shared" si="77"/>
        <v>0</v>
      </c>
      <c r="D207" s="118">
        <v>0.1</v>
      </c>
      <c r="E207" s="119"/>
      <c r="F207" s="119"/>
      <c r="G207" s="120">
        <v>2029</v>
      </c>
      <c r="H207" s="120"/>
      <c r="I207" s="60">
        <f t="shared" si="78"/>
        <v>0</v>
      </c>
      <c r="J207" s="56">
        <v>2029</v>
      </c>
      <c r="K207" s="50">
        <f t="shared" si="79"/>
        <v>0</v>
      </c>
      <c r="L207" s="50">
        <f t="shared" si="80"/>
        <v>0</v>
      </c>
      <c r="M207" s="54">
        <f t="shared" si="81"/>
        <v>0</v>
      </c>
      <c r="O207" s="37" t="s">
        <v>285</v>
      </c>
      <c r="P207" s="50">
        <f t="shared" ref="P207:W207" si="83">SUMIF($G$206:$G$218,P205,$I$206:$I$218)</f>
        <v>0</v>
      </c>
      <c r="Q207" s="50">
        <f t="shared" si="83"/>
        <v>0</v>
      </c>
      <c r="R207" s="50">
        <f t="shared" si="83"/>
        <v>0</v>
      </c>
      <c r="S207" s="50">
        <f t="shared" si="83"/>
        <v>0</v>
      </c>
      <c r="T207" s="50">
        <f t="shared" si="83"/>
        <v>0</v>
      </c>
      <c r="U207" s="50">
        <f t="shared" si="83"/>
        <v>0</v>
      </c>
      <c r="V207" s="50">
        <f t="shared" si="83"/>
        <v>0</v>
      </c>
      <c r="W207" s="50">
        <f t="shared" si="83"/>
        <v>0</v>
      </c>
      <c r="X207" s="78">
        <f>SUM(P207:W207)</f>
        <v>0</v>
      </c>
    </row>
    <row r="208" spans="1:24" ht="30.7" thickBot="1" x14ac:dyDescent="0.35">
      <c r="A208" s="117" t="s">
        <v>325</v>
      </c>
      <c r="B208" s="116" t="s">
        <v>326</v>
      </c>
      <c r="C208" s="58">
        <f t="shared" si="77"/>
        <v>0</v>
      </c>
      <c r="D208" s="118">
        <v>0.1</v>
      </c>
      <c r="E208" s="119"/>
      <c r="F208" s="119"/>
      <c r="G208" s="120">
        <v>2029</v>
      </c>
      <c r="H208" s="120"/>
      <c r="I208" s="60">
        <f t="shared" si="78"/>
        <v>0</v>
      </c>
      <c r="J208" s="56">
        <v>2030</v>
      </c>
      <c r="K208" s="50">
        <f t="shared" si="79"/>
        <v>0</v>
      </c>
      <c r="L208" s="50">
        <f t="shared" si="80"/>
        <v>0</v>
      </c>
      <c r="M208" s="54">
        <f t="shared" si="81"/>
        <v>0</v>
      </c>
      <c r="O208" s="75" t="s">
        <v>318</v>
      </c>
      <c r="P208" s="79">
        <f t="shared" ref="P208:W208" si="84">SUM(P206:P207)</f>
        <v>0</v>
      </c>
      <c r="Q208" s="79">
        <f t="shared" si="84"/>
        <v>0</v>
      </c>
      <c r="R208" s="79">
        <f t="shared" si="84"/>
        <v>0</v>
      </c>
      <c r="S208" s="79">
        <f t="shared" si="84"/>
        <v>0</v>
      </c>
      <c r="T208" s="79">
        <f t="shared" si="84"/>
        <v>0</v>
      </c>
      <c r="U208" s="79">
        <f t="shared" si="84"/>
        <v>0</v>
      </c>
      <c r="V208" s="79">
        <f t="shared" si="84"/>
        <v>0</v>
      </c>
      <c r="W208" s="79">
        <f t="shared" si="84"/>
        <v>0</v>
      </c>
      <c r="X208" s="77">
        <f>SUM(P208:W208)</f>
        <v>0</v>
      </c>
    </row>
    <row r="209" spans="1:14" x14ac:dyDescent="0.3">
      <c r="A209" s="117" t="s">
        <v>320</v>
      </c>
      <c r="B209" s="116" t="s">
        <v>328</v>
      </c>
      <c r="C209" s="58">
        <f t="shared" si="77"/>
        <v>0</v>
      </c>
      <c r="D209" s="118">
        <v>0.1</v>
      </c>
      <c r="E209" s="119"/>
      <c r="F209" s="119"/>
      <c r="G209" s="120">
        <v>2029</v>
      </c>
      <c r="H209" s="120"/>
      <c r="I209" s="60">
        <f t="shared" si="78"/>
        <v>0</v>
      </c>
      <c r="J209" s="56">
        <v>2031</v>
      </c>
      <c r="K209" s="50">
        <f t="shared" si="79"/>
        <v>0</v>
      </c>
      <c r="L209" s="50">
        <f t="shared" si="80"/>
        <v>0</v>
      </c>
      <c r="M209" s="54">
        <f t="shared" si="81"/>
        <v>0</v>
      </c>
    </row>
    <row r="210" spans="1:14" x14ac:dyDescent="0.3">
      <c r="A210" s="117" t="s">
        <v>320</v>
      </c>
      <c r="B210" s="116" t="s">
        <v>330</v>
      </c>
      <c r="C210" s="58">
        <f t="shared" si="77"/>
        <v>0</v>
      </c>
      <c r="D210" s="118">
        <v>0.1</v>
      </c>
      <c r="E210" s="119"/>
      <c r="F210" s="119"/>
      <c r="G210" s="120">
        <v>2030</v>
      </c>
      <c r="H210" s="120"/>
      <c r="I210" s="60">
        <f t="shared" si="78"/>
        <v>0</v>
      </c>
      <c r="J210" s="56">
        <v>2032</v>
      </c>
      <c r="K210" s="50">
        <f t="shared" si="79"/>
        <v>0</v>
      </c>
      <c r="L210" s="50">
        <f t="shared" si="80"/>
        <v>0</v>
      </c>
      <c r="M210" s="54">
        <f t="shared" si="81"/>
        <v>0</v>
      </c>
    </row>
    <row r="211" spans="1:14" x14ac:dyDescent="0.3">
      <c r="A211" s="117" t="s">
        <v>325</v>
      </c>
      <c r="B211" s="116" t="s">
        <v>331</v>
      </c>
      <c r="C211" s="58">
        <f t="shared" si="77"/>
        <v>0</v>
      </c>
      <c r="D211" s="118">
        <v>0.1</v>
      </c>
      <c r="E211" s="119"/>
      <c r="F211" s="119"/>
      <c r="G211" s="120">
        <v>2030</v>
      </c>
      <c r="H211" s="120"/>
      <c r="I211" s="60">
        <f t="shared" si="78"/>
        <v>0</v>
      </c>
      <c r="J211" s="56">
        <v>2033</v>
      </c>
      <c r="K211" s="50">
        <f t="shared" si="79"/>
        <v>0</v>
      </c>
      <c r="L211" s="50">
        <f t="shared" si="80"/>
        <v>0</v>
      </c>
      <c r="M211" s="54">
        <f t="shared" si="81"/>
        <v>0</v>
      </c>
    </row>
    <row r="212" spans="1:14" x14ac:dyDescent="0.3">
      <c r="A212" s="117" t="s">
        <v>320</v>
      </c>
      <c r="B212" s="113" t="s">
        <v>332</v>
      </c>
      <c r="C212" s="58">
        <f t="shared" si="77"/>
        <v>0</v>
      </c>
      <c r="D212" s="118">
        <v>0.1</v>
      </c>
      <c r="E212" s="119"/>
      <c r="F212" s="119"/>
      <c r="G212" s="120">
        <v>2031</v>
      </c>
      <c r="H212" s="120"/>
      <c r="I212" s="60">
        <f t="shared" si="78"/>
        <v>0</v>
      </c>
      <c r="J212" s="56">
        <v>2034</v>
      </c>
      <c r="K212" s="50">
        <f t="shared" si="79"/>
        <v>0</v>
      </c>
      <c r="L212" s="50">
        <f t="shared" si="80"/>
        <v>0</v>
      </c>
      <c r="M212" s="54">
        <f t="shared" si="81"/>
        <v>0</v>
      </c>
    </row>
    <row r="213" spans="1:14" x14ac:dyDescent="0.3">
      <c r="A213" s="117" t="s">
        <v>320</v>
      </c>
      <c r="B213" s="116" t="s">
        <v>333</v>
      </c>
      <c r="C213" s="58">
        <f t="shared" si="77"/>
        <v>0</v>
      </c>
      <c r="D213" s="118">
        <v>0.1</v>
      </c>
      <c r="E213" s="119"/>
      <c r="F213" s="119"/>
      <c r="G213" s="120">
        <v>2032</v>
      </c>
      <c r="H213" s="120"/>
      <c r="I213" s="60">
        <f t="shared" si="78"/>
        <v>0</v>
      </c>
      <c r="J213" s="57">
        <v>2035</v>
      </c>
      <c r="K213" s="50">
        <f t="shared" si="79"/>
        <v>0</v>
      </c>
      <c r="L213" s="50">
        <f t="shared" si="80"/>
        <v>0</v>
      </c>
      <c r="M213" s="54">
        <f t="shared" si="81"/>
        <v>0</v>
      </c>
    </row>
    <row r="214" spans="1:14" ht="15.65" thickBot="1" x14ac:dyDescent="0.35">
      <c r="A214" s="117" t="s">
        <v>325</v>
      </c>
      <c r="B214" s="116" t="s">
        <v>334</v>
      </c>
      <c r="C214" s="58">
        <f t="shared" si="77"/>
        <v>0</v>
      </c>
      <c r="D214" s="118">
        <v>0.1</v>
      </c>
      <c r="E214" s="119"/>
      <c r="F214" s="119"/>
      <c r="G214" s="120">
        <v>2033</v>
      </c>
      <c r="H214" s="120"/>
      <c r="I214" s="60">
        <f t="shared" si="78"/>
        <v>0</v>
      </c>
      <c r="J214" s="39" t="s">
        <v>319</v>
      </c>
      <c r="K214" s="55">
        <f>SUM(K206:K213)</f>
        <v>0</v>
      </c>
      <c r="L214" s="55">
        <f>SUM(L206:L213)</f>
        <v>0</v>
      </c>
      <c r="M214" s="40">
        <f>SUM(M206:M213)</f>
        <v>0</v>
      </c>
    </row>
    <row r="215" spans="1:14" x14ac:dyDescent="0.3">
      <c r="A215" s="117" t="s">
        <v>325</v>
      </c>
      <c r="B215" s="113" t="s">
        <v>335</v>
      </c>
      <c r="C215" s="58">
        <f t="shared" si="77"/>
        <v>0</v>
      </c>
      <c r="D215" s="118">
        <v>0.1</v>
      </c>
      <c r="E215" s="119"/>
      <c r="F215" s="119" t="s">
        <v>340</v>
      </c>
      <c r="G215" s="120">
        <v>2034</v>
      </c>
      <c r="H215" s="120"/>
      <c r="I215" s="50">
        <f t="shared" si="78"/>
        <v>0</v>
      </c>
      <c r="J215" s="26"/>
      <c r="M215" s="29"/>
      <c r="N215" s="25"/>
    </row>
    <row r="216" spans="1:14" x14ac:dyDescent="0.3">
      <c r="A216" s="117" t="s">
        <v>325</v>
      </c>
      <c r="B216" s="113" t="s">
        <v>339</v>
      </c>
      <c r="C216" s="58">
        <f t="shared" si="77"/>
        <v>0</v>
      </c>
      <c r="D216" s="118"/>
      <c r="E216" s="119"/>
      <c r="F216" s="119" t="s">
        <v>340</v>
      </c>
      <c r="G216" s="120"/>
      <c r="H216" s="120"/>
      <c r="I216" s="50">
        <f t="shared" si="78"/>
        <v>0</v>
      </c>
      <c r="J216" s="26"/>
      <c r="M216" s="29"/>
    </row>
    <row r="217" spans="1:14" x14ac:dyDescent="0.3">
      <c r="A217" s="117" t="s">
        <v>325</v>
      </c>
      <c r="B217" s="113" t="s">
        <v>337</v>
      </c>
      <c r="C217" s="58">
        <f t="shared" si="77"/>
        <v>0</v>
      </c>
      <c r="D217" s="118"/>
      <c r="E217" s="119"/>
      <c r="F217" s="119" t="s">
        <v>340</v>
      </c>
      <c r="G217" s="120"/>
      <c r="H217" s="120"/>
      <c r="I217" s="50">
        <f t="shared" si="78"/>
        <v>0</v>
      </c>
      <c r="J217" s="26"/>
      <c r="M217" s="29"/>
    </row>
    <row r="218" spans="1:14" x14ac:dyDescent="0.3">
      <c r="A218" s="117" t="s">
        <v>325</v>
      </c>
      <c r="B218" s="123" t="s">
        <v>338</v>
      </c>
      <c r="C218" s="58">
        <f t="shared" si="77"/>
        <v>0</v>
      </c>
      <c r="D218" s="118"/>
      <c r="E218" s="119"/>
      <c r="F218" s="119" t="s">
        <v>340</v>
      </c>
      <c r="G218" s="120"/>
      <c r="H218" s="120"/>
      <c r="I218" s="50">
        <f t="shared" si="78"/>
        <v>0</v>
      </c>
      <c r="J218" s="26"/>
      <c r="M218" s="29"/>
    </row>
    <row r="219" spans="1:14" ht="15.65" thickBot="1" x14ac:dyDescent="0.35">
      <c r="A219" s="30"/>
      <c r="B219" s="31"/>
      <c r="C219" s="55">
        <f>SUM(C206:C218)</f>
        <v>0</v>
      </c>
      <c r="D219" s="59">
        <f>SUM(D206:D218)</f>
        <v>0.99999999999999989</v>
      </c>
      <c r="E219" s="45"/>
      <c r="F219" s="45"/>
      <c r="G219" s="45"/>
      <c r="H219" s="45"/>
      <c r="I219" s="55">
        <f>SUM(I206:I218)</f>
        <v>0</v>
      </c>
      <c r="J219" s="46"/>
      <c r="K219" s="31"/>
      <c r="L219" s="31"/>
      <c r="M219" s="32"/>
    </row>
    <row r="220" spans="1:14" x14ac:dyDescent="0.3">
      <c r="B220" s="63" t="str">
        <f>IF(N($C$36)=0,"",IF(ABS($D$219-1)&gt;=0.00005,"CHECK: shares add up to "&amp;FIXED(($D$219)*100,1)&amp;"%"&amp;", must be 100%",IF(SUMPRODUCT(($C$206:$C$218&gt;0)*(($G$206:$G$218&lt;2028)+($G$206:$G$218&gt;2035)&gt;0))&gt;0,"CHECK: a row with a share has no year between 2028 and 2035","OK: shares 100%, years complete")))</f>
        <v/>
      </c>
    </row>
  </sheetData>
  <sheetProtection insertRows="0"/>
  <mergeCells count="34">
    <mergeCell ref="O40:X40"/>
    <mergeCell ref="A1:M2"/>
    <mergeCell ref="A25:M25"/>
    <mergeCell ref="J42:M42"/>
    <mergeCell ref="E60:H60"/>
    <mergeCell ref="A16:C16"/>
    <mergeCell ref="A17:C17"/>
    <mergeCell ref="E42:H42"/>
    <mergeCell ref="A15:C15"/>
    <mergeCell ref="A5:A6"/>
    <mergeCell ref="A14:M14"/>
    <mergeCell ref="J60:M60"/>
    <mergeCell ref="J78:M78"/>
    <mergeCell ref="J96:M96"/>
    <mergeCell ref="B5:J5"/>
    <mergeCell ref="E96:H96"/>
    <mergeCell ref="A40:M40"/>
    <mergeCell ref="E78:H78"/>
    <mergeCell ref="A18:C18"/>
    <mergeCell ref="A19:C19"/>
    <mergeCell ref="A20:C20"/>
    <mergeCell ref="A21:C21"/>
    <mergeCell ref="E114:H114"/>
    <mergeCell ref="J114:M114"/>
    <mergeCell ref="E132:H132"/>
    <mergeCell ref="J132:M132"/>
    <mergeCell ref="E150:H150"/>
    <mergeCell ref="J150:M150"/>
    <mergeCell ref="E168:H168"/>
    <mergeCell ref="J168:M168"/>
    <mergeCell ref="E186:H186"/>
    <mergeCell ref="J186:M186"/>
    <mergeCell ref="E204:H204"/>
    <mergeCell ref="J204:M204"/>
  </mergeCells>
  <phoneticPr fontId="4" type="noConversion"/>
  <conditionalFormatting sqref="A11:X219 A4:X9 A10 J10:X10">
    <cfRule type="expression" dxfId="75" priority="100">
      <formula>ISERROR(A4)</formula>
    </cfRule>
  </conditionalFormatting>
  <conditionalFormatting sqref="B3">
    <cfRule type="expression" dxfId="74" priority="102">
      <formula>LEFT($B$3,5)="CHECK"</formula>
    </cfRule>
    <cfRule type="expression" dxfId="73" priority="103">
      <formula>LEFT($B$3,3)="All"</formula>
    </cfRule>
  </conditionalFormatting>
  <conditionalFormatting sqref="B58">
    <cfRule type="expression" dxfId="72" priority="111">
      <formula>LEFT($B$58,5)="CHECK"</formula>
    </cfRule>
    <cfRule type="expression" dxfId="71" priority="112">
      <formula>LEFT($B$58,2)="OK"</formula>
    </cfRule>
  </conditionalFormatting>
  <conditionalFormatting sqref="B76">
    <cfRule type="expression" dxfId="70" priority="113">
      <formula>LEFT($B$76,5)="CHECK"</formula>
    </cfRule>
    <cfRule type="expression" dxfId="69" priority="114">
      <formula>LEFT($B$76,2)="OK"</formula>
    </cfRule>
  </conditionalFormatting>
  <conditionalFormatting sqref="B94">
    <cfRule type="expression" dxfId="68" priority="115">
      <formula>LEFT($B$94,5)="CHECK"</formula>
    </cfRule>
    <cfRule type="expression" dxfId="67" priority="116">
      <formula>LEFT($B$94,2)="OK"</formula>
    </cfRule>
  </conditionalFormatting>
  <conditionalFormatting sqref="B112">
    <cfRule type="expression" dxfId="66" priority="117">
      <formula>LEFT($B$112,5)="CHECK"</formula>
    </cfRule>
    <cfRule type="expression" dxfId="65" priority="118">
      <formula>LEFT($B$112,2)="OK"</formula>
    </cfRule>
  </conditionalFormatting>
  <conditionalFormatting sqref="B130">
    <cfRule type="expression" dxfId="64" priority="119">
      <formula>LEFT($B$130,5)="CHECK"</formula>
    </cfRule>
    <cfRule type="expression" dxfId="63" priority="120">
      <formula>LEFT($B$130,2)="OK"</formula>
    </cfRule>
  </conditionalFormatting>
  <conditionalFormatting sqref="B148">
    <cfRule type="expression" dxfId="62" priority="121">
      <formula>LEFT($B$148,5)="CHECK"</formula>
    </cfRule>
    <cfRule type="expression" dxfId="61" priority="122">
      <formula>LEFT($B$148,2)="OK"</formula>
    </cfRule>
  </conditionalFormatting>
  <conditionalFormatting sqref="B166">
    <cfRule type="expression" dxfId="60" priority="123">
      <formula>LEFT($B$166,5)="CHECK"</formula>
    </cfRule>
    <cfRule type="expression" dxfId="59" priority="124">
      <formula>LEFT($B$166,2)="OK"</formula>
    </cfRule>
  </conditionalFormatting>
  <conditionalFormatting sqref="B184">
    <cfRule type="expression" dxfId="58" priority="125">
      <formula>LEFT($B$184,5)="CHECK"</formula>
    </cfRule>
    <cfRule type="expression" dxfId="57" priority="126">
      <formula>LEFT($B$184,2)="OK"</formula>
    </cfRule>
  </conditionalFormatting>
  <conditionalFormatting sqref="B202">
    <cfRule type="expression" dxfId="56" priority="127">
      <formula>LEFT($B$202,5)="CHECK"</formula>
    </cfRule>
    <cfRule type="expression" dxfId="55" priority="128">
      <formula>LEFT($B$202,2)="OK"</formula>
    </cfRule>
  </conditionalFormatting>
  <conditionalFormatting sqref="B220">
    <cfRule type="expression" dxfId="54" priority="129">
      <formula>LEFT($B$220,5)="CHECK"</formula>
    </cfRule>
    <cfRule type="expression" dxfId="53" priority="130">
      <formula>LEFT($B$220,2)="OK"</formula>
    </cfRule>
  </conditionalFormatting>
  <conditionalFormatting sqref="C37">
    <cfRule type="cellIs" dxfId="52" priority="16" operator="notEqual">
      <formula>100%</formula>
    </cfRule>
  </conditionalFormatting>
  <conditionalFormatting sqref="D57">
    <cfRule type="cellIs" dxfId="51" priority="15" operator="notEqual">
      <formula>1</formula>
    </cfRule>
  </conditionalFormatting>
  <conditionalFormatting sqref="D75">
    <cfRule type="cellIs" dxfId="50" priority="14" operator="notEqual">
      <formula>1</formula>
    </cfRule>
  </conditionalFormatting>
  <conditionalFormatting sqref="D93">
    <cfRule type="cellIs" dxfId="49" priority="13" operator="notEqual">
      <formula>1</formula>
    </cfRule>
  </conditionalFormatting>
  <conditionalFormatting sqref="D111">
    <cfRule type="cellIs" dxfId="48" priority="12" operator="notEqual">
      <formula>1</formula>
    </cfRule>
  </conditionalFormatting>
  <conditionalFormatting sqref="D129">
    <cfRule type="cellIs" dxfId="47" priority="8" operator="notEqual">
      <formula>1</formula>
    </cfRule>
  </conditionalFormatting>
  <conditionalFormatting sqref="D147">
    <cfRule type="cellIs" dxfId="46" priority="7" operator="notEqual">
      <formula>1</formula>
    </cfRule>
  </conditionalFormatting>
  <conditionalFormatting sqref="D165">
    <cfRule type="cellIs" dxfId="45" priority="6" operator="notEqual">
      <formula>1</formula>
    </cfRule>
  </conditionalFormatting>
  <conditionalFormatting sqref="D183">
    <cfRule type="cellIs" dxfId="44" priority="5" operator="notEqual">
      <formula>1</formula>
    </cfRule>
  </conditionalFormatting>
  <conditionalFormatting sqref="D201">
    <cfRule type="cellIs" dxfId="43" priority="4" operator="notEqual">
      <formula>1</formula>
    </cfRule>
  </conditionalFormatting>
  <conditionalFormatting sqref="D219">
    <cfRule type="cellIs" dxfId="42" priority="3" operator="notEqual">
      <formula>1</formula>
    </cfRule>
  </conditionalFormatting>
  <conditionalFormatting sqref="F38">
    <cfRule type="expression" dxfId="41" priority="18">
      <formula>LEFT($F$38,5)="CHECK"</formula>
    </cfRule>
    <cfRule type="expression" dxfId="40" priority="19">
      <formula>LEFT($F$38,2)="OK"</formula>
    </cfRule>
  </conditionalFormatting>
  <conditionalFormatting sqref="J7">
    <cfRule type="cellIs" dxfId="39" priority="2" operator="equal">
      <formula>$D$20</formula>
    </cfRule>
  </conditionalFormatting>
  <conditionalFormatting sqref="J9">
    <cfRule type="cellIs" dxfId="38" priority="17" operator="notEqual">
      <formula>$D$18</formula>
    </cfRule>
  </conditionalFormatting>
  <dataValidations count="15">
    <dataValidation type="decimal" operator="greaterThan" allowBlank="1" showInputMessage="1" showErrorMessage="1" errorTitle="Amount required" error="Enter an amount in EUR greater than 0." promptTitle="Union contribution (EUR)" prompt="Enter the total Union contribution to the chapter in EUR (ERDF and, where applicable, Global Europe Instrument), including technical assistance." sqref="D15" xr:uid="{00000000-0002-0000-0300-000000000000}">
      <formula1>0</formula1>
    </dataValidation>
    <dataValidation type="list" allowBlank="1" showInputMessage="1" showErrorMessage="1" errorTitle="Choose from the list" error="Choose 80% or 85%." promptTitle="Co-financing rate ceiling" prompt="Choose the maximum EU co-financing rate of the chapter: 80% or 85%. Measures may have different rates (column F). Their weighted total (F37) may not exceed this rate." sqref="D16" xr:uid="{00000000-0002-0000-0300-000001000000}">
      <formula1>"80%, 85%"</formula1>
    </dataValidation>
    <dataValidation type="list" allowBlank="1" showInputMessage="1" showErrorMessage="1" errorTitle="Choose from the list" error="Choose 8% or 10%." promptTitle="Technical assistance rate" prompt="Choose the TA flat rate: 8%, or 10% for chapters supporting outermost regions cooperation and cooperation on external borders (Art.13(2) NRPP, 11 June text). TA is paid on top of the payout values." sqref="E19" xr:uid="{00000000-0002-0000-0300-000002000000}">
      <formula1>"8%, 10%"</formula1>
    </dataValidation>
    <dataValidation allowBlank="1" showInputMessage="1" promptTitle="Name of measure" prompt="Enter the name of the measure." sqref="B27:B36" xr:uid="{00000000-0002-0000-0300-000003000000}"/>
    <dataValidation type="decimal" allowBlank="1" showInputMessage="1" showErrorMessage="1" errorTitle="Percentage required" error="Enter a percentage between 0% and 100%." promptTitle="Allocation to the measure (%)" prompt="Enter the share of the amount available for payout values (D20) allocated to this measure, as % of the total. All measures together must add up to 100% (C37). The EU contribution of the measure (column D) is calculated from it." sqref="C27:C36" xr:uid="{00000000-0002-0000-0300-000004000000}">
      <formula1>0</formula1>
      <formula2>1</formula2>
    </dataValidation>
    <dataValidation type="decimal" allowBlank="1" showInputMessage="1" showErrorMessage="1" errorTitle="Rate required" error="Enter a rate above 0% and up to 100%, or leave the cell empty." promptTitle="Co-financing rate of the measure" prompt="Optional. Enter the EU co-financing rate of this measure (above 0%, up to 100%). Leave empty to use the chapter rate in D16. The weighted rate of all measures (F37) may not exceed D16." sqref="F27:F36" xr:uid="{00000000-0002-0000-0300-000005000000}">
      <formula1>0.0001</formula1>
      <formula2>1</formula2>
    </dataValidation>
    <dataValidation type="list" allowBlank="1" showInputMessage="1" showErrorMessage="1" errorTitle="Choose from the list" error="Choose milestone or target." promptTitle="Milestone or target" prompt="Choose whether this row is a milestone or a target." sqref="A44:A56 A62:A74 A80:A92 A98:A110 A116:A128 A134:A146 A152:A164 A170:A182 A188:A200 A206:A218" xr:uid="{00000000-0002-0000-0300-000006000000}">
      <formula1>"milestone, target"</formula1>
    </dataValidation>
    <dataValidation allowBlank="1" showInputMessage="1" promptTitle="Name of milestone or target" prompt="Enter the name of the milestone or target. Describe what has to be fulfilled for the payout value to be paid." sqref="B44:B56 B62:B74 B80:B92 B98:B110 B116:B128 B134:B146 B152:B164 B170:B182 B188:B200 B206:B218" xr:uid="{00000000-0002-0000-0300-000007000000}"/>
    <dataValidation type="decimal" allowBlank="1" showInputMessage="1" showErrorMessage="1" errorTitle="Percentage required" error="Enter a percentage between 0% and 100%." promptTitle="Share of measure payout value" prompt="Enter the share (%) of the measure payout value that is paid when this milestone or target is fulfilled. The shares of one measure must add up to 100% (check below the table)." sqref="D44:D56 D62:D74 D80:D92 D98:D110 D116:D128 D134:D146 D152:D164 D188:D200 D170:D182 D206:D218" xr:uid="{00000000-0002-0000-0300-000008000000}">
      <formula1>0</formula1>
      <formula2>1</formula2>
    </dataValidation>
    <dataValidation allowBlank="1" showInputMessage="1" promptTitle="Baseline (optional)" prompt="Enter the baseline value of the indicator. Optional: not used in the calculations." sqref="E44:E56 E62:E74 E80:E92 E98:E110 E116:E128 E134:E146 E152:E164 E170:E182 E188:E200 E206:E218" xr:uid="{00000000-0002-0000-0300-000009000000}"/>
    <dataValidation allowBlank="1" showInputMessage="1" promptTitle="Target value (optional)" prompt="Enter the target value of the indicator. Optional: not used in the calculations." sqref="F44:F56 F62:F74 F80:F92 F98:F110 F116:F128 F134:F146 F152:F164 F170:F182 F188:F200 F206:F218" xr:uid="{00000000-0002-0000-0300-00000A000000}"/>
    <dataValidation type="list" allowBlank="1" showInputMessage="1" showErrorMessage="1" errorTitle="Choose from the list" error="Choose a year from the list." promptTitle="Year of fulfilment" prompt="Choose the year in which the milestone or target is expected to be fulfilled. Its payout value and TA are counted in the payment application of that year." sqref="G44:G56 G62:G74 G80:G92 G98:G110 G116:G128 G134:G146 G188:G200 G152:G164 G170:G182 G206:G218" xr:uid="{00000000-0002-0000-0300-00000B000000}">
      <formula1>"2028, 2029, 2030, 2031, 2032, 2033, 2034, 2035"</formula1>
    </dataValidation>
    <dataValidation type="list" allowBlank="1" showInputMessage="1" showErrorMessage="1" errorTitle="Choose from the list" error="Choose Q1, Q2, Q3 or Q4." promptTitle="Quarter of fulfilment" prompt="Choose the quarter. For information only: the quarter is not used in the calculations. Payment applications are submitted by 31 October (Art.65(4) NRPP, 11 June text)." sqref="H44:H56 H62:H74 H80:H92 H98:H110 H116:H128 H134:H146 H152:H164 H170:H182 H188:H200 H206:H218" xr:uid="{00000000-0002-0000-0300-00000C000000}">
      <formula1>"Q1, Q2, Q3, Q4"</formula1>
    </dataValidation>
    <dataValidation type="decimal" operator="greaterThanOrEqual" allowBlank="1" showInputMessage="1" showErrorMessage="1" errorTitle="Amount required" error="Enter an amount in EUR, 0 or more." promptTitle="Indicative public / private part" prompt="Optional. Needed for the chapter template, not for the financial flows. Enter the indicative public (H) and private (I) part of the national contribution in EUR. Together they should equal column G (Checks A1.9)." sqref="H27:I36" xr:uid="{00000000-0002-0000-0200-00000D000000}">
      <formula1>0</formula1>
    </dataValidation>
    <dataValidation allowBlank="1" showInputMessage="1" promptTitle="Co-financing rate check" prompt="OK: nothing to do. CHECK: the weighted rate (F37) is above the ceiling in D16. Lower the co-financing rate of one or more measures in F27:F36. Cells in column F that are empty use the chapter rate." sqref="F38" xr:uid="{00000000-0002-0000-0200-00000E000000}"/>
  </dataValidations>
  <pageMargins left="0.7" right="0.7" top="0.75" bottom="0.75" header="0.3" footer="0.3"/>
  <pageSetup paperSize="9" orientation="portrait" horizontalDpi="3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89C21-2733-45FF-BABC-DA52E2133928}">
  <sheetPr>
    <tabColor theme="8" tint="0.59999389629810485"/>
  </sheetPr>
  <dimension ref="A1:X68"/>
  <sheetViews>
    <sheetView zoomScale="120" zoomScaleNormal="120" workbookViewId="0">
      <selection activeCell="B16" sqref="B16"/>
    </sheetView>
  </sheetViews>
  <sheetFormatPr defaultRowHeight="15.05" x14ac:dyDescent="0.3"/>
  <cols>
    <col min="1" max="1" width="29.44140625" customWidth="1"/>
    <col min="2" max="2" width="15.109375" customWidth="1"/>
    <col min="3" max="9" width="16.5546875" customWidth="1"/>
    <col min="10" max="10" width="24.109375" bestFit="1" customWidth="1"/>
    <col min="16" max="17" width="14" customWidth="1"/>
    <col min="18" max="18" width="16.109375" customWidth="1"/>
    <col min="19" max="25" width="14" customWidth="1"/>
    <col min="26" max="26" width="10.44140625" customWidth="1"/>
  </cols>
  <sheetData>
    <row r="1" spans="1:13" ht="18" x14ac:dyDescent="0.3">
      <c r="A1" s="157" t="s">
        <v>341</v>
      </c>
      <c r="B1" s="157"/>
      <c r="C1" s="157"/>
      <c r="D1" s="157"/>
      <c r="E1" s="157"/>
      <c r="F1" s="157"/>
      <c r="G1" s="157"/>
      <c r="H1" s="157"/>
      <c r="I1" s="157"/>
      <c r="J1" s="157"/>
    </row>
    <row r="3" spans="1:13" x14ac:dyDescent="0.3">
      <c r="A3" s="175" t="s">
        <v>281</v>
      </c>
      <c r="B3" s="154" t="s">
        <v>282</v>
      </c>
      <c r="C3" s="155"/>
      <c r="D3" s="155"/>
      <c r="E3" s="155"/>
      <c r="F3" s="155"/>
      <c r="G3" s="155"/>
      <c r="H3" s="155"/>
      <c r="I3" s="155"/>
      <c r="J3" s="156"/>
    </row>
    <row r="4" spans="1:13" x14ac:dyDescent="0.3">
      <c r="A4" s="176"/>
      <c r="B4" s="70">
        <v>2028</v>
      </c>
      <c r="C4" s="70">
        <v>2029</v>
      </c>
      <c r="D4" s="70">
        <v>2030</v>
      </c>
      <c r="E4" s="70">
        <v>2031</v>
      </c>
      <c r="F4" s="70">
        <v>2032</v>
      </c>
      <c r="G4" s="70">
        <v>2033</v>
      </c>
      <c r="H4" s="70">
        <v>2034</v>
      </c>
      <c r="I4" s="70">
        <v>2035</v>
      </c>
      <c r="J4" s="70" t="s">
        <v>283</v>
      </c>
    </row>
    <row r="5" spans="1:13" x14ac:dyDescent="0.3">
      <c r="A5" s="19" t="s">
        <v>284</v>
      </c>
      <c r="B5" s="50">
        <f>'pay out values'!B7</f>
        <v>0</v>
      </c>
      <c r="C5" s="50">
        <f>'pay out values'!C7</f>
        <v>0</v>
      </c>
      <c r="D5" s="50">
        <f>'pay out values'!D7</f>
        <v>0</v>
      </c>
      <c r="E5" s="50">
        <f>'pay out values'!E7</f>
        <v>0</v>
      </c>
      <c r="F5" s="50">
        <f>'pay out values'!F7</f>
        <v>0</v>
      </c>
      <c r="G5" s="50">
        <f>'pay out values'!G7</f>
        <v>0</v>
      </c>
      <c r="H5" s="50">
        <f>'pay out values'!H7</f>
        <v>0</v>
      </c>
      <c r="I5" s="50">
        <f>'pay out values'!I7</f>
        <v>0</v>
      </c>
      <c r="J5" s="65">
        <f>SUM(B5:I5)</f>
        <v>0</v>
      </c>
    </row>
    <row r="6" spans="1:13" x14ac:dyDescent="0.3">
      <c r="A6" s="19" t="s">
        <v>285</v>
      </c>
      <c r="B6" s="50">
        <f>'pay out values'!B8</f>
        <v>0</v>
      </c>
      <c r="C6" s="50">
        <f>'pay out values'!C8</f>
        <v>0</v>
      </c>
      <c r="D6" s="50">
        <f>'pay out values'!D8</f>
        <v>0</v>
      </c>
      <c r="E6" s="50">
        <f>'pay out values'!E8</f>
        <v>0</v>
      </c>
      <c r="F6" s="50">
        <f>'pay out values'!F8</f>
        <v>0</v>
      </c>
      <c r="G6" s="50">
        <f>'pay out values'!G8</f>
        <v>0</v>
      </c>
      <c r="H6" s="50">
        <f>'pay out values'!H8</f>
        <v>0</v>
      </c>
      <c r="I6" s="50">
        <f>'pay out values'!I8</f>
        <v>0</v>
      </c>
      <c r="J6" s="65">
        <f>SUM(B6:I6)</f>
        <v>0</v>
      </c>
    </row>
    <row r="7" spans="1:13" x14ac:dyDescent="0.3">
      <c r="A7" s="19" t="s">
        <v>286</v>
      </c>
      <c r="B7" s="64">
        <f t="shared" ref="B7:I7" si="0">SUM(B5:B6)</f>
        <v>0</v>
      </c>
      <c r="C7" s="64">
        <f t="shared" si="0"/>
        <v>0</v>
      </c>
      <c r="D7" s="64">
        <f t="shared" si="0"/>
        <v>0</v>
      </c>
      <c r="E7" s="64">
        <f t="shared" si="0"/>
        <v>0</v>
      </c>
      <c r="F7" s="64">
        <f t="shared" si="0"/>
        <v>0</v>
      </c>
      <c r="G7" s="64">
        <f t="shared" si="0"/>
        <v>0</v>
      </c>
      <c r="H7" s="64">
        <f t="shared" si="0"/>
        <v>0</v>
      </c>
      <c r="I7" s="64">
        <f t="shared" si="0"/>
        <v>0</v>
      </c>
      <c r="J7" s="27">
        <f>SUM(B7:I7)</f>
        <v>0</v>
      </c>
    </row>
    <row r="12" spans="1:13" ht="14.4" x14ac:dyDescent="0.3">
      <c r="A12" s="6" t="s">
        <v>342</v>
      </c>
      <c r="B12" s="70">
        <v>2028</v>
      </c>
      <c r="C12" s="70">
        <v>2029</v>
      </c>
      <c r="D12" s="70">
        <v>2030</v>
      </c>
      <c r="E12" s="70">
        <v>2031</v>
      </c>
      <c r="F12" s="70">
        <v>2032</v>
      </c>
      <c r="G12" s="70">
        <v>2033</v>
      </c>
      <c r="H12" s="70">
        <v>2034</v>
      </c>
      <c r="I12" s="70">
        <v>2035</v>
      </c>
      <c r="J12" s="70" t="s">
        <v>283</v>
      </c>
    </row>
    <row r="13" spans="1:13" ht="14.4" x14ac:dyDescent="0.3">
      <c r="A13" s="19" t="s">
        <v>343</v>
      </c>
      <c r="B13" s="142">
        <v>0.1583</v>
      </c>
      <c r="C13" s="142">
        <v>0.15490000000000001</v>
      </c>
      <c r="D13" s="142">
        <v>0.15129999999999999</v>
      </c>
      <c r="E13" s="142">
        <v>0.14760000000000001</v>
      </c>
      <c r="F13" s="142">
        <v>0.14360000000000001</v>
      </c>
      <c r="G13" s="142">
        <v>0.1275</v>
      </c>
      <c r="H13" s="142">
        <v>0.1168</v>
      </c>
      <c r="I13" s="142">
        <v>0</v>
      </c>
      <c r="J13" s="94">
        <f>SUM(B13:I13)</f>
        <v>1</v>
      </c>
    </row>
    <row r="14" spans="1:13" ht="14.4" x14ac:dyDescent="0.3">
      <c r="A14" s="19" t="s">
        <v>344</v>
      </c>
      <c r="B14" s="50">
        <f t="shared" ref="B14:I14" si="1">B13*$J$7</f>
        <v>0</v>
      </c>
      <c r="C14" s="50">
        <f t="shared" si="1"/>
        <v>0</v>
      </c>
      <c r="D14" s="50">
        <f t="shared" si="1"/>
        <v>0</v>
      </c>
      <c r="E14" s="50">
        <f t="shared" si="1"/>
        <v>0</v>
      </c>
      <c r="F14" s="50">
        <f t="shared" si="1"/>
        <v>0</v>
      </c>
      <c r="G14" s="50">
        <f t="shared" si="1"/>
        <v>0</v>
      </c>
      <c r="H14" s="50">
        <f t="shared" si="1"/>
        <v>0</v>
      </c>
      <c r="I14" s="50">
        <f t="shared" si="1"/>
        <v>0</v>
      </c>
      <c r="J14" s="50">
        <f>SUM(B14:I14)</f>
        <v>0</v>
      </c>
      <c r="M14" s="16"/>
    </row>
    <row r="15" spans="1:13" ht="14.4" x14ac:dyDescent="0.3">
      <c r="A15" s="19" t="s">
        <v>345</v>
      </c>
      <c r="B15" s="125">
        <v>0.04</v>
      </c>
      <c r="C15" s="125">
        <v>0.04</v>
      </c>
      <c r="D15" s="125">
        <v>0.04</v>
      </c>
      <c r="E15" s="125"/>
      <c r="F15" s="125"/>
      <c r="G15" s="125"/>
      <c r="H15" s="125"/>
      <c r="I15" s="125"/>
      <c r="J15" s="126">
        <f>SUM(B15:I15)</f>
        <v>0.12</v>
      </c>
      <c r="M15" s="16"/>
    </row>
    <row r="16" spans="1:13" x14ac:dyDescent="0.3">
      <c r="A16" s="19" t="s">
        <v>346</v>
      </c>
      <c r="B16" s="50">
        <f t="shared" ref="B16:I16" si="2">B15*$J$7</f>
        <v>0</v>
      </c>
      <c r="C16" s="50">
        <f t="shared" si="2"/>
        <v>0</v>
      </c>
      <c r="D16" s="50">
        <f t="shared" si="2"/>
        <v>0</v>
      </c>
      <c r="E16" s="50">
        <f t="shared" si="2"/>
        <v>0</v>
      </c>
      <c r="F16" s="50">
        <f t="shared" si="2"/>
        <v>0</v>
      </c>
      <c r="G16" s="50">
        <f t="shared" si="2"/>
        <v>0</v>
      </c>
      <c r="H16" s="50">
        <f t="shared" si="2"/>
        <v>0</v>
      </c>
      <c r="I16" s="50">
        <f t="shared" si="2"/>
        <v>0</v>
      </c>
      <c r="J16" s="50">
        <f>SUM(B16:I16)</f>
        <v>0</v>
      </c>
      <c r="M16" s="16"/>
    </row>
    <row r="17" spans="1:13" ht="14.4" x14ac:dyDescent="0.3">
      <c r="A17" s="19" t="s">
        <v>347</v>
      </c>
      <c r="B17" s="64"/>
      <c r="C17" s="64">
        <f t="shared" ref="C17:I17" si="3">C18-B18</f>
        <v>0</v>
      </c>
      <c r="D17" s="64">
        <f t="shared" si="3"/>
        <v>0</v>
      </c>
      <c r="E17" s="64">
        <f t="shared" si="3"/>
        <v>0</v>
      </c>
      <c r="F17" s="64">
        <f t="shared" si="3"/>
        <v>0</v>
      </c>
      <c r="G17" s="64">
        <f t="shared" si="3"/>
        <v>0</v>
      </c>
      <c r="H17" s="64">
        <f t="shared" si="3"/>
        <v>0</v>
      </c>
      <c r="I17" s="64">
        <f t="shared" si="3"/>
        <v>0</v>
      </c>
      <c r="J17" s="64">
        <f>SUM(C17:I17)</f>
        <v>0</v>
      </c>
      <c r="M17" s="16"/>
    </row>
    <row r="18" spans="1:13" ht="14.4" x14ac:dyDescent="0.3">
      <c r="A18" s="19" t="s">
        <v>348</v>
      </c>
      <c r="B18" s="50"/>
      <c r="C18" s="50">
        <f>MAX(0,SUM($B14:B14)-SUM($B16:C16))</f>
        <v>0</v>
      </c>
      <c r="D18" s="50">
        <f>MAX(0,SUM($B14:C14)-SUM($B16:D16))</f>
        <v>0</v>
      </c>
      <c r="E18" s="50">
        <f>MAX(0,SUM($B14:D14)-SUM($B16:E16))</f>
        <v>0</v>
      </c>
      <c r="F18" s="50">
        <f>MAX(0,SUM($B14:E14)-SUM($B16:F16))</f>
        <v>0</v>
      </c>
      <c r="G18" s="50">
        <f>MAX(0,SUM($B14:F14)-SUM($B16:G16))</f>
        <v>0</v>
      </c>
      <c r="H18" s="50">
        <f>MAX(0,SUM($B14:G14)-SUM($B16:H16))</f>
        <v>0</v>
      </c>
      <c r="I18" s="50">
        <f>SUM($B14:H14)</f>
        <v>0</v>
      </c>
      <c r="J18" s="98"/>
    </row>
    <row r="19" spans="1:13" ht="14.4" x14ac:dyDescent="0.3">
      <c r="A19" s="19" t="s">
        <v>349</v>
      </c>
      <c r="B19" s="92"/>
      <c r="C19" s="93">
        <f t="shared" ref="C19:I19" si="4">IF($J$17=0,0,C17/$J$17)</f>
        <v>0</v>
      </c>
      <c r="D19" s="93">
        <f t="shared" si="4"/>
        <v>0</v>
      </c>
      <c r="E19" s="93">
        <f t="shared" si="4"/>
        <v>0</v>
      </c>
      <c r="F19" s="93">
        <f t="shared" si="4"/>
        <v>0</v>
      </c>
      <c r="G19" s="93">
        <f t="shared" si="4"/>
        <v>0</v>
      </c>
      <c r="H19" s="93">
        <f t="shared" si="4"/>
        <v>0</v>
      </c>
      <c r="I19" s="93">
        <f t="shared" si="4"/>
        <v>0</v>
      </c>
      <c r="J19" s="98"/>
    </row>
    <row r="21" spans="1:13" ht="14.4" x14ac:dyDescent="0.3">
      <c r="A21" s="6" t="s">
        <v>350</v>
      </c>
      <c r="B21" s="70">
        <v>2028</v>
      </c>
      <c r="C21" s="70">
        <v>2029</v>
      </c>
      <c r="D21" s="70">
        <v>2030</v>
      </c>
      <c r="E21" s="70">
        <v>2031</v>
      </c>
      <c r="F21" s="70">
        <v>2032</v>
      </c>
      <c r="G21" s="70">
        <v>2033</v>
      </c>
      <c r="H21" s="70">
        <v>2034</v>
      </c>
      <c r="I21" s="70">
        <v>2035</v>
      </c>
      <c r="J21" s="70" t="s">
        <v>283</v>
      </c>
    </row>
    <row r="22" spans="1:13" ht="14.4" x14ac:dyDescent="0.3">
      <c r="A22" s="19" t="s">
        <v>351</v>
      </c>
      <c r="B22" s="50">
        <f t="shared" ref="B22:I22" si="5">B5</f>
        <v>0</v>
      </c>
      <c r="C22" s="50">
        <f t="shared" si="5"/>
        <v>0</v>
      </c>
      <c r="D22" s="50">
        <f t="shared" si="5"/>
        <v>0</v>
      </c>
      <c r="E22" s="50">
        <f t="shared" si="5"/>
        <v>0</v>
      </c>
      <c r="F22" s="50">
        <f t="shared" si="5"/>
        <v>0</v>
      </c>
      <c r="G22" s="50">
        <f t="shared" si="5"/>
        <v>0</v>
      </c>
      <c r="H22" s="50">
        <f t="shared" si="5"/>
        <v>0</v>
      </c>
      <c r="I22" s="50">
        <f t="shared" si="5"/>
        <v>0</v>
      </c>
      <c r="J22" s="50">
        <f>SUM(B22:I22)</f>
        <v>0</v>
      </c>
    </row>
    <row r="23" spans="1:13" ht="14.4" x14ac:dyDescent="0.3">
      <c r="A23" s="19" t="s">
        <v>352</v>
      </c>
      <c r="B23" s="50">
        <f>B22</f>
        <v>0</v>
      </c>
      <c r="C23" s="50">
        <f t="shared" ref="C23:I23" si="6">B23+C22</f>
        <v>0</v>
      </c>
      <c r="D23" s="50">
        <f t="shared" si="6"/>
        <v>0</v>
      </c>
      <c r="E23" s="50">
        <f t="shared" si="6"/>
        <v>0</v>
      </c>
      <c r="F23" s="50">
        <f t="shared" si="6"/>
        <v>0</v>
      </c>
      <c r="G23" s="50">
        <f t="shared" si="6"/>
        <v>0</v>
      </c>
      <c r="H23" s="50">
        <f t="shared" si="6"/>
        <v>0</v>
      </c>
      <c r="I23" s="50">
        <f t="shared" si="6"/>
        <v>0</v>
      </c>
      <c r="J23" s="98"/>
    </row>
    <row r="24" spans="1:13" x14ac:dyDescent="0.3">
      <c r="A24" s="19" t="s">
        <v>353</v>
      </c>
      <c r="B24" s="50">
        <f t="shared" ref="B24:I24" si="7">B6</f>
        <v>0</v>
      </c>
      <c r="C24" s="50">
        <f t="shared" si="7"/>
        <v>0</v>
      </c>
      <c r="D24" s="50">
        <f t="shared" si="7"/>
        <v>0</v>
      </c>
      <c r="E24" s="50">
        <f t="shared" si="7"/>
        <v>0</v>
      </c>
      <c r="F24" s="50">
        <f t="shared" si="7"/>
        <v>0</v>
      </c>
      <c r="G24" s="50">
        <f t="shared" si="7"/>
        <v>0</v>
      </c>
      <c r="H24" s="50">
        <f t="shared" si="7"/>
        <v>0</v>
      </c>
      <c r="I24" s="50">
        <f t="shared" si="7"/>
        <v>0</v>
      </c>
      <c r="J24" s="50">
        <f>SUM(B24:I24)</f>
        <v>0</v>
      </c>
    </row>
    <row r="25" spans="1:13" x14ac:dyDescent="0.3">
      <c r="A25" s="19" t="s">
        <v>354</v>
      </c>
      <c r="B25" s="50">
        <f>B24</f>
        <v>0</v>
      </c>
      <c r="C25" s="50">
        <f t="shared" ref="C25:I25" si="8">B25+C24</f>
        <v>0</v>
      </c>
      <c r="D25" s="50">
        <f t="shared" si="8"/>
        <v>0</v>
      </c>
      <c r="E25" s="50">
        <f t="shared" si="8"/>
        <v>0</v>
      </c>
      <c r="F25" s="50">
        <f t="shared" si="8"/>
        <v>0</v>
      </c>
      <c r="G25" s="50">
        <f t="shared" si="8"/>
        <v>0</v>
      </c>
      <c r="H25" s="50">
        <f t="shared" si="8"/>
        <v>0</v>
      </c>
      <c r="I25" s="50">
        <f t="shared" si="8"/>
        <v>0</v>
      </c>
      <c r="J25" s="98"/>
    </row>
    <row r="26" spans="1:13" x14ac:dyDescent="0.3">
      <c r="A26" s="19" t="s">
        <v>355</v>
      </c>
      <c r="B26" s="50">
        <f t="shared" ref="B26:I26" si="9">B22+B24</f>
        <v>0</v>
      </c>
      <c r="C26" s="50">
        <f t="shared" si="9"/>
        <v>0</v>
      </c>
      <c r="D26" s="50">
        <f t="shared" si="9"/>
        <v>0</v>
      </c>
      <c r="E26" s="50">
        <f t="shared" si="9"/>
        <v>0</v>
      </c>
      <c r="F26" s="50">
        <f t="shared" si="9"/>
        <v>0</v>
      </c>
      <c r="G26" s="50">
        <f t="shared" si="9"/>
        <v>0</v>
      </c>
      <c r="H26" s="50">
        <f t="shared" si="9"/>
        <v>0</v>
      </c>
      <c r="I26" s="50">
        <f t="shared" si="9"/>
        <v>0</v>
      </c>
      <c r="J26" s="50">
        <f>SUM(B26:I26)</f>
        <v>0</v>
      </c>
    </row>
    <row r="27" spans="1:13" x14ac:dyDescent="0.3">
      <c r="A27" s="19" t="s">
        <v>356</v>
      </c>
      <c r="B27" s="50">
        <f>B26</f>
        <v>0</v>
      </c>
      <c r="C27" s="50">
        <f t="shared" ref="C27:I27" si="10">B27+C26</f>
        <v>0</v>
      </c>
      <c r="D27" s="50">
        <f t="shared" si="10"/>
        <v>0</v>
      </c>
      <c r="E27" s="50">
        <f t="shared" si="10"/>
        <v>0</v>
      </c>
      <c r="F27" s="50">
        <f t="shared" si="10"/>
        <v>0</v>
      </c>
      <c r="G27" s="50">
        <f t="shared" si="10"/>
        <v>0</v>
      </c>
      <c r="H27" s="50">
        <f t="shared" si="10"/>
        <v>0</v>
      </c>
      <c r="I27" s="50">
        <f t="shared" si="10"/>
        <v>0</v>
      </c>
      <c r="J27" s="98"/>
    </row>
    <row r="29" spans="1:13" x14ac:dyDescent="0.3">
      <c r="A29" s="6" t="s">
        <v>357</v>
      </c>
      <c r="B29" s="70">
        <v>2028</v>
      </c>
      <c r="C29" s="70">
        <v>2029</v>
      </c>
      <c r="D29" s="70">
        <v>2030</v>
      </c>
      <c r="E29" s="70">
        <v>2031</v>
      </c>
      <c r="F29" s="70">
        <v>2032</v>
      </c>
      <c r="G29" s="70">
        <v>2033</v>
      </c>
      <c r="H29" s="70">
        <v>2034</v>
      </c>
      <c r="I29" s="70">
        <v>2035</v>
      </c>
      <c r="J29" s="70" t="s">
        <v>283</v>
      </c>
    </row>
    <row r="30" spans="1:13" x14ac:dyDescent="0.3">
      <c r="A30" s="19" t="s">
        <v>348</v>
      </c>
      <c r="B30" s="50">
        <f t="shared" ref="B30:I30" si="11">B18</f>
        <v>0</v>
      </c>
      <c r="C30" s="50">
        <f t="shared" si="11"/>
        <v>0</v>
      </c>
      <c r="D30" s="50">
        <f t="shared" si="11"/>
        <v>0</v>
      </c>
      <c r="E30" s="50">
        <f t="shared" si="11"/>
        <v>0</v>
      </c>
      <c r="F30" s="50">
        <f t="shared" si="11"/>
        <v>0</v>
      </c>
      <c r="G30" s="50">
        <f t="shared" si="11"/>
        <v>0</v>
      </c>
      <c r="H30" s="50">
        <f t="shared" si="11"/>
        <v>0</v>
      </c>
      <c r="I30" s="50">
        <f t="shared" si="11"/>
        <v>0</v>
      </c>
      <c r="J30" s="98"/>
    </row>
    <row r="31" spans="1:13" x14ac:dyDescent="0.3">
      <c r="A31" s="19" t="s">
        <v>356</v>
      </c>
      <c r="B31" s="50">
        <f t="shared" ref="B31:I31" si="12">B27</f>
        <v>0</v>
      </c>
      <c r="C31" s="50">
        <f t="shared" si="12"/>
        <v>0</v>
      </c>
      <c r="D31" s="50">
        <f t="shared" si="12"/>
        <v>0</v>
      </c>
      <c r="E31" s="50">
        <f t="shared" si="12"/>
        <v>0</v>
      </c>
      <c r="F31" s="50">
        <f t="shared" si="12"/>
        <v>0</v>
      </c>
      <c r="G31" s="50">
        <f t="shared" si="12"/>
        <v>0</v>
      </c>
      <c r="H31" s="50">
        <f t="shared" si="12"/>
        <v>0</v>
      </c>
      <c r="I31" s="50">
        <f t="shared" si="12"/>
        <v>0</v>
      </c>
      <c r="J31" s="98"/>
    </row>
    <row r="32" spans="1:13" x14ac:dyDescent="0.3">
      <c r="A32" s="19" t="s">
        <v>358</v>
      </c>
      <c r="B32" s="63" t="str">
        <f t="shared" ref="B32:I32" si="13">IF(B31&gt;=B30-0.5,"OK","RISK")</f>
        <v>OK</v>
      </c>
      <c r="C32" s="63" t="str">
        <f t="shared" si="13"/>
        <v>OK</v>
      </c>
      <c r="D32" s="63" t="str">
        <f t="shared" si="13"/>
        <v>OK</v>
      </c>
      <c r="E32" s="63" t="str">
        <f t="shared" si="13"/>
        <v>OK</v>
      </c>
      <c r="F32" s="63" t="str">
        <f t="shared" si="13"/>
        <v>OK</v>
      </c>
      <c r="G32" s="63" t="str">
        <f t="shared" si="13"/>
        <v>OK</v>
      </c>
      <c r="H32" s="63" t="str">
        <f t="shared" si="13"/>
        <v>OK</v>
      </c>
      <c r="I32" s="63" t="str">
        <f t="shared" si="13"/>
        <v>OK</v>
      </c>
      <c r="J32" t="s">
        <v>359</v>
      </c>
    </row>
    <row r="34" spans="11:24" x14ac:dyDescent="0.3">
      <c r="P34" s="143" t="s">
        <v>360</v>
      </c>
    </row>
    <row r="35" spans="11:24" x14ac:dyDescent="0.3">
      <c r="P35" s="8">
        <f>Inflows!B53</f>
        <v>2028</v>
      </c>
      <c r="Q35" s="8">
        <f>Inflows!C53</f>
        <v>2029</v>
      </c>
      <c r="R35" s="8">
        <f>Inflows!D53</f>
        <v>2030</v>
      </c>
      <c r="S35" s="8">
        <f>Inflows!E53</f>
        <v>2031</v>
      </c>
      <c r="T35" s="8">
        <f>Inflows!F53</f>
        <v>2032</v>
      </c>
      <c r="U35" s="8">
        <f>Inflows!G53</f>
        <v>2033</v>
      </c>
      <c r="V35" s="8">
        <f>Inflows!H53</f>
        <v>2034</v>
      </c>
      <c r="W35" s="8">
        <f>Inflows!I53</f>
        <v>2035</v>
      </c>
      <c r="X35" s="8" t="str">
        <f>Inflows!J53</f>
        <v>after closure</v>
      </c>
    </row>
    <row r="36" spans="11:24" x14ac:dyDescent="0.3">
      <c r="K36" s="80"/>
      <c r="O36" s="13" t="str">
        <f>Inflows!A54</f>
        <v>cumulative payments from COM</v>
      </c>
      <c r="P36" s="12">
        <f>Inflows!B54</f>
        <v>0</v>
      </c>
      <c r="Q36" s="12">
        <f>Inflows!C54</f>
        <v>0</v>
      </c>
      <c r="R36" s="12">
        <f>Inflows!D54</f>
        <v>0</v>
      </c>
      <c r="S36" s="12">
        <f>Inflows!E54</f>
        <v>0</v>
      </c>
      <c r="T36" s="12">
        <f>Inflows!F54</f>
        <v>0</v>
      </c>
      <c r="U36" s="12">
        <f>Inflows!G54</f>
        <v>0</v>
      </c>
      <c r="V36" s="12">
        <f>Inflows!H54</f>
        <v>0</v>
      </c>
      <c r="W36" s="12">
        <f>Inflows!I54</f>
        <v>0</v>
      </c>
      <c r="X36" s="12">
        <f>Inflows!J54</f>
        <v>0</v>
      </c>
    </row>
    <row r="37" spans="11:24" x14ac:dyDescent="0.3">
      <c r="O37" s="13" t="str">
        <f>Inflows!A57</f>
        <v xml:space="preserve">Clearing of pre-financing </v>
      </c>
      <c r="P37" s="12">
        <f>Inflows!B57</f>
        <v>0</v>
      </c>
      <c r="Q37" s="12">
        <f>Inflows!C57</f>
        <v>0</v>
      </c>
      <c r="R37" s="12">
        <f>Inflows!D57</f>
        <v>0</v>
      </c>
      <c r="S37" s="12">
        <f>Inflows!E57</f>
        <v>0</v>
      </c>
      <c r="T37" s="12">
        <f>Inflows!F57</f>
        <v>0</v>
      </c>
      <c r="U37" s="12">
        <f>Inflows!G57</f>
        <v>0</v>
      </c>
      <c r="V37" s="12">
        <f>Inflows!H57</f>
        <v>0</v>
      </c>
      <c r="W37" s="12">
        <f>Inflows!I57</f>
        <v>0</v>
      </c>
      <c r="X37" s="12">
        <f>Inflows!J57</f>
        <v>0</v>
      </c>
    </row>
    <row r="38" spans="11:24" x14ac:dyDescent="0.3">
      <c r="O38" s="13" t="str">
        <f>Inflows!A55</f>
        <v>Payment ceiling at 95%</v>
      </c>
      <c r="P38" s="12">
        <f>Inflows!B55</f>
        <v>0</v>
      </c>
      <c r="Q38" s="12">
        <f>Inflows!C55</f>
        <v>0</v>
      </c>
      <c r="R38" s="12">
        <f>Inflows!D55</f>
        <v>0</v>
      </c>
      <c r="S38" s="12">
        <f>Inflows!E55</f>
        <v>0</v>
      </c>
      <c r="T38" s="12">
        <f>Inflows!F55</f>
        <v>0</v>
      </c>
      <c r="U38" s="12">
        <f>Inflows!G55</f>
        <v>0</v>
      </c>
      <c r="V38" s="12">
        <f>Inflows!H55</f>
        <v>0</v>
      </c>
      <c r="W38" s="12">
        <f>Inflows!I55</f>
        <v>0</v>
      </c>
      <c r="X38" s="12">
        <f>Inflows!J55</f>
        <v>0</v>
      </c>
    </row>
    <row r="39" spans="11:24" x14ac:dyDescent="0.3">
      <c r="O39" s="13" t="str">
        <f>Inflows!A56</f>
        <v>programme budget</v>
      </c>
      <c r="P39" s="12">
        <f>Inflows!B56</f>
        <v>0</v>
      </c>
      <c r="Q39" s="12">
        <f>Inflows!C56</f>
        <v>0</v>
      </c>
      <c r="R39" s="12">
        <f>Inflows!D56</f>
        <v>0</v>
      </c>
      <c r="S39" s="12">
        <f>Inflows!E56</f>
        <v>0</v>
      </c>
      <c r="T39" s="12">
        <f>Inflows!F56</f>
        <v>0</v>
      </c>
      <c r="U39" s="12">
        <f>Inflows!G56</f>
        <v>0</v>
      </c>
      <c r="V39" s="12">
        <f>Inflows!H56</f>
        <v>0</v>
      </c>
      <c r="W39" s="12">
        <f>Inflows!I56</f>
        <v>0</v>
      </c>
      <c r="X39" s="12">
        <f>Inflows!J56</f>
        <v>0</v>
      </c>
    </row>
    <row r="61" spans="15:24" x14ac:dyDescent="0.3">
      <c r="P61" t="s">
        <v>361</v>
      </c>
    </row>
    <row r="62" spans="15:24" x14ac:dyDescent="0.3">
      <c r="P62" s="8">
        <v>2028</v>
      </c>
      <c r="Q62" s="8">
        <v>2029</v>
      </c>
      <c r="R62" s="8">
        <v>2030</v>
      </c>
      <c r="S62" s="8">
        <v>2031</v>
      </c>
      <c r="T62" s="8">
        <v>2032</v>
      </c>
      <c r="U62" s="8">
        <v>2033</v>
      </c>
      <c r="V62" s="8">
        <v>2034</v>
      </c>
      <c r="W62" s="15">
        <v>2035</v>
      </c>
      <c r="X62" s="8" t="s">
        <v>362</v>
      </c>
    </row>
    <row r="63" spans="15:24" x14ac:dyDescent="0.3">
      <c r="O63" s="13" t="s">
        <v>363</v>
      </c>
      <c r="P63" s="12">
        <f>SUM($B$16:B16)</f>
        <v>0</v>
      </c>
      <c r="Q63" s="4">
        <f>SUM($B$16:C16)</f>
        <v>0</v>
      </c>
      <c r="R63" s="4">
        <f>SUM($B$16:D16)</f>
        <v>0</v>
      </c>
      <c r="S63" s="4">
        <f>SUM($B$16:E16)</f>
        <v>0</v>
      </c>
      <c r="T63" s="4">
        <f>SUM($B$16:F16)</f>
        <v>0</v>
      </c>
      <c r="U63" s="4">
        <f>SUM($B$16:G16)</f>
        <v>0</v>
      </c>
      <c r="V63" s="4">
        <f>SUM($B$16:H16)</f>
        <v>0</v>
      </c>
      <c r="W63" s="4">
        <f>SUM($B$16:I16)</f>
        <v>0</v>
      </c>
    </row>
    <row r="64" spans="15:24" x14ac:dyDescent="0.3">
      <c r="O64" s="13" t="s">
        <v>356</v>
      </c>
      <c r="P64" s="4">
        <f t="shared" ref="P64:W64" si="14">B27</f>
        <v>0</v>
      </c>
      <c r="Q64" s="4">
        <f t="shared" si="14"/>
        <v>0</v>
      </c>
      <c r="R64" s="4">
        <f t="shared" si="14"/>
        <v>0</v>
      </c>
      <c r="S64" s="4">
        <f t="shared" si="14"/>
        <v>0</v>
      </c>
      <c r="T64" s="4">
        <f t="shared" si="14"/>
        <v>0</v>
      </c>
      <c r="U64" s="4">
        <f t="shared" si="14"/>
        <v>0</v>
      </c>
      <c r="V64" s="4">
        <f t="shared" si="14"/>
        <v>0</v>
      </c>
      <c r="W64" s="4">
        <f t="shared" si="14"/>
        <v>0</v>
      </c>
    </row>
    <row r="65" spans="15:23" x14ac:dyDescent="0.3">
      <c r="O65" s="13" t="s">
        <v>364</v>
      </c>
      <c r="P65" s="4">
        <f t="shared" ref="P65:W65" si="15">P63+P64</f>
        <v>0</v>
      </c>
      <c r="Q65" s="4">
        <f t="shared" si="15"/>
        <v>0</v>
      </c>
      <c r="R65" s="4">
        <f t="shared" si="15"/>
        <v>0</v>
      </c>
      <c r="S65" s="4">
        <f t="shared" si="15"/>
        <v>0</v>
      </c>
      <c r="T65" s="4">
        <f t="shared" si="15"/>
        <v>0</v>
      </c>
      <c r="U65" s="4">
        <f t="shared" si="15"/>
        <v>0</v>
      </c>
      <c r="V65" s="4">
        <f t="shared" si="15"/>
        <v>0</v>
      </c>
      <c r="W65" s="4">
        <f t="shared" si="15"/>
        <v>0</v>
      </c>
    </row>
    <row r="66" spans="15:23" x14ac:dyDescent="0.3">
      <c r="O66" s="13" t="s">
        <v>365</v>
      </c>
      <c r="P66" s="4">
        <f t="shared" ref="P66:W66" si="16">$J$7-$J$16</f>
        <v>0</v>
      </c>
      <c r="Q66" s="4">
        <f t="shared" si="16"/>
        <v>0</v>
      </c>
      <c r="R66" s="4">
        <f t="shared" si="16"/>
        <v>0</v>
      </c>
      <c r="S66" s="4">
        <f t="shared" si="16"/>
        <v>0</v>
      </c>
      <c r="T66" s="4">
        <f t="shared" si="16"/>
        <v>0</v>
      </c>
      <c r="U66" s="4">
        <f t="shared" si="16"/>
        <v>0</v>
      </c>
      <c r="V66" s="4">
        <f t="shared" si="16"/>
        <v>0</v>
      </c>
      <c r="W66" s="4">
        <f t="shared" si="16"/>
        <v>0</v>
      </c>
    </row>
    <row r="67" spans="15:23" x14ac:dyDescent="0.3">
      <c r="O67" s="13" t="str">
        <f>Inflows!$A$22</f>
        <v>Payment ceiling at 95%</v>
      </c>
      <c r="P67" s="4">
        <f>Inflows!$B$22</f>
        <v>0</v>
      </c>
      <c r="Q67" s="4">
        <f>Inflows!$B$22</f>
        <v>0</v>
      </c>
      <c r="R67" s="4">
        <f>Inflows!$B$22</f>
        <v>0</v>
      </c>
      <c r="S67" s="4">
        <f>Inflows!$B$22</f>
        <v>0</v>
      </c>
      <c r="T67" s="4">
        <f>Inflows!$B$22</f>
        <v>0</v>
      </c>
      <c r="U67" s="4">
        <f>Inflows!$B$22</f>
        <v>0</v>
      </c>
      <c r="V67" s="4">
        <f>Inflows!$B$22</f>
        <v>0</v>
      </c>
      <c r="W67" s="4">
        <f>Inflows!$B$22</f>
        <v>0</v>
      </c>
    </row>
    <row r="68" spans="15:23" x14ac:dyDescent="0.3">
      <c r="O68" s="13" t="s">
        <v>366</v>
      </c>
      <c r="P68" s="4">
        <f t="shared" ref="P68:W68" si="17">$J$7</f>
        <v>0</v>
      </c>
      <c r="Q68" s="4">
        <f t="shared" si="17"/>
        <v>0</v>
      </c>
      <c r="R68" s="4">
        <f t="shared" si="17"/>
        <v>0</v>
      </c>
      <c r="S68" s="4">
        <f t="shared" si="17"/>
        <v>0</v>
      </c>
      <c r="T68" s="4">
        <f t="shared" si="17"/>
        <v>0</v>
      </c>
      <c r="U68" s="4">
        <f t="shared" si="17"/>
        <v>0</v>
      </c>
      <c r="V68" s="4">
        <f t="shared" si="17"/>
        <v>0</v>
      </c>
      <c r="W68" s="4">
        <f t="shared" si="17"/>
        <v>0</v>
      </c>
    </row>
  </sheetData>
  <mergeCells count="3">
    <mergeCell ref="A3:A4"/>
    <mergeCell ref="B3:J3"/>
    <mergeCell ref="A1:J1"/>
  </mergeCells>
  <conditionalFormatting sqref="A1:X31 A32:J32 L32:X32 A33:X33 A34:N34 P34:X34 A35:X68">
    <cfRule type="expression" dxfId="37" priority="100">
      <formula>ISERROR(A1)</formula>
    </cfRule>
  </conditionalFormatting>
  <conditionalFormatting sqref="B32:I32">
    <cfRule type="expression" dxfId="36" priority="120">
      <formula>B32="RISK"</formula>
    </cfRule>
    <cfRule type="expression" dxfId="35" priority="121">
      <formula>B32="OK"</formula>
    </cfRule>
  </conditionalFormatting>
  <dataValidations count="3">
    <dataValidation type="decimal" allowBlank="1" showInputMessage="1" showErrorMessage="1" errorTitle="Percentage required" error="Enter a percentage between 0% and 100%." promptTitle="Annual commitment (%)" prompt="Enter the annual Union commitment as % of the chapter allocation. The years must add up to 100%. Current values are an assumption: allocations start in 2029." sqref="B13:I13" xr:uid="{00000000-0002-0000-0400-000000000000}">
      <formula1>0</formula1>
      <formula2>1</formula2>
    </dataValidation>
    <dataValidation type="decimal" allowBlank="1" showInputMessage="1" showErrorMessage="1" errorTitle="Percentage required" error="Enter a percentage between 0% and 100%." promptTitle="Pre-financing tranche (%)" prompt="Enter the pre-financing tranche as % of the Union contribution. Starting point: 4% in each of 2029, 2030 and 2031 (12%; Art.17(2) NRPP, 11 June text, figures in square brackets). Programmes may edit." sqref="B15:I15" xr:uid="{00000000-0002-0000-0400-000001000000}">
      <formula1>0</formula1>
      <formula2>1</formula2>
    </dataValidation>
    <dataValidation allowBlank="1" showInputMessage="1" promptTitle="Total of commitments" prompt="Calculated: the annual commitments in B13:I13 must add up to 100%. See the check on the Checks sheet." sqref="J13" xr:uid="{00000000-0002-0000-0400-000002000000}"/>
  </dataValidation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B209B-96BF-4141-8A14-6DA64C88BBBD}">
  <sheetPr>
    <tabColor theme="8" tint="0.59999389629810485"/>
  </sheetPr>
  <dimension ref="A1:N64"/>
  <sheetViews>
    <sheetView zoomScale="120" zoomScaleNormal="120" workbookViewId="0">
      <selection activeCell="M1" sqref="M1"/>
    </sheetView>
  </sheetViews>
  <sheetFormatPr defaultRowHeight="15.05" x14ac:dyDescent="0.3"/>
  <cols>
    <col min="1" max="1" width="33.44140625" customWidth="1"/>
    <col min="2" max="2" width="15.109375" customWidth="1"/>
    <col min="3" max="9" width="16.5546875" customWidth="1"/>
    <col min="10" max="10" width="16.109375" customWidth="1"/>
    <col min="11" max="11" width="19" customWidth="1"/>
    <col min="12" max="12" width="14.109375" customWidth="1"/>
    <col min="13" max="13" width="14.5546875" bestFit="1" customWidth="1"/>
    <col min="16" max="17" width="14" customWidth="1"/>
    <col min="18" max="18" width="16.109375" customWidth="1"/>
    <col min="19" max="25" width="14" customWidth="1"/>
    <col min="26" max="26" width="10.44140625" customWidth="1"/>
  </cols>
  <sheetData>
    <row r="1" spans="1:14" ht="18" x14ac:dyDescent="0.3">
      <c r="A1" s="157" t="s">
        <v>367</v>
      </c>
      <c r="B1" s="157"/>
      <c r="C1" s="157"/>
      <c r="D1" s="157"/>
      <c r="E1" s="157"/>
      <c r="F1" s="157"/>
      <c r="G1" s="157"/>
      <c r="H1" s="157"/>
      <c r="I1" s="157"/>
      <c r="J1" s="157"/>
      <c r="K1" s="157"/>
      <c r="M1" s="80"/>
    </row>
    <row r="3" spans="1:14" x14ac:dyDescent="0.3">
      <c r="A3" s="175" t="s">
        <v>281</v>
      </c>
      <c r="B3" s="154" t="s">
        <v>282</v>
      </c>
      <c r="C3" s="155"/>
      <c r="D3" s="155"/>
      <c r="E3" s="155"/>
      <c r="F3" s="155"/>
      <c r="G3" s="155"/>
      <c r="H3" s="155"/>
      <c r="I3" s="155"/>
      <c r="J3" s="156"/>
    </row>
    <row r="4" spans="1:14" x14ac:dyDescent="0.3">
      <c r="A4" s="176"/>
      <c r="B4" s="70">
        <v>2028</v>
      </c>
      <c r="C4" s="70">
        <v>2029</v>
      </c>
      <c r="D4" s="70">
        <v>2030</v>
      </c>
      <c r="E4" s="70">
        <v>2031</v>
      </c>
      <c r="F4" s="70">
        <v>2032</v>
      </c>
      <c r="G4" s="70">
        <v>2033</v>
      </c>
      <c r="H4" s="70">
        <v>2034</v>
      </c>
      <c r="I4" s="70">
        <v>2035</v>
      </c>
      <c r="J4" s="70" t="s">
        <v>283</v>
      </c>
    </row>
    <row r="5" spans="1:14" x14ac:dyDescent="0.3">
      <c r="A5" s="19" t="s">
        <v>284</v>
      </c>
      <c r="B5" s="50">
        <f>'pay out values'!B7</f>
        <v>0</v>
      </c>
      <c r="C5" s="50">
        <f>'pay out values'!C7</f>
        <v>0</v>
      </c>
      <c r="D5" s="50">
        <f>'pay out values'!D7</f>
        <v>0</v>
      </c>
      <c r="E5" s="50">
        <f>'pay out values'!E7</f>
        <v>0</v>
      </c>
      <c r="F5" s="50">
        <f>'pay out values'!F7</f>
        <v>0</v>
      </c>
      <c r="G5" s="50">
        <f>'pay out values'!G7</f>
        <v>0</v>
      </c>
      <c r="H5" s="50">
        <f>'pay out values'!H7</f>
        <v>0</v>
      </c>
      <c r="I5" s="50">
        <f>'pay out values'!I7</f>
        <v>0</v>
      </c>
      <c r="J5" s="65">
        <f>SUM(B5:I5)</f>
        <v>0</v>
      </c>
    </row>
    <row r="6" spans="1:14" x14ac:dyDescent="0.3">
      <c r="A6" s="19" t="s">
        <v>285</v>
      </c>
      <c r="B6" s="50">
        <f>'pay out values'!B8</f>
        <v>0</v>
      </c>
      <c r="C6" s="50">
        <f>'pay out values'!C8</f>
        <v>0</v>
      </c>
      <c r="D6" s="50">
        <f>'pay out values'!D8</f>
        <v>0</v>
      </c>
      <c r="E6" s="50">
        <f>'pay out values'!E8</f>
        <v>0</v>
      </c>
      <c r="F6" s="50">
        <f>'pay out values'!F8</f>
        <v>0</v>
      </c>
      <c r="G6" s="50">
        <f>'pay out values'!G8</f>
        <v>0</v>
      </c>
      <c r="H6" s="50">
        <f>'pay out values'!H8</f>
        <v>0</v>
      </c>
      <c r="I6" s="50">
        <f>'pay out values'!I8</f>
        <v>0</v>
      </c>
      <c r="J6" s="65">
        <f>SUM(B6:I6)</f>
        <v>0</v>
      </c>
    </row>
    <row r="7" spans="1:14" x14ac:dyDescent="0.3">
      <c r="A7" s="19" t="s">
        <v>286</v>
      </c>
      <c r="B7" s="64">
        <f t="shared" ref="B7:I7" si="0">SUM(B5:B6)</f>
        <v>0</v>
      </c>
      <c r="C7" s="64">
        <f t="shared" si="0"/>
        <v>0</v>
      </c>
      <c r="D7" s="64">
        <f t="shared" si="0"/>
        <v>0</v>
      </c>
      <c r="E7" s="64">
        <f t="shared" si="0"/>
        <v>0</v>
      </c>
      <c r="F7" s="64">
        <f t="shared" si="0"/>
        <v>0</v>
      </c>
      <c r="G7" s="64">
        <f t="shared" si="0"/>
        <v>0</v>
      </c>
      <c r="H7" s="64">
        <f t="shared" si="0"/>
        <v>0</v>
      </c>
      <c r="I7" s="64">
        <f t="shared" si="0"/>
        <v>0</v>
      </c>
      <c r="J7" s="27">
        <f>SUM(B7:I7)</f>
        <v>0</v>
      </c>
    </row>
    <row r="9" spans="1:14" x14ac:dyDescent="0.3">
      <c r="A9" s="69" t="s">
        <v>368</v>
      </c>
      <c r="B9" s="83" t="s">
        <v>369</v>
      </c>
      <c r="C9" s="84" t="s">
        <v>370</v>
      </c>
    </row>
    <row r="10" spans="1:14" ht="14.4" x14ac:dyDescent="0.3">
      <c r="A10" s="19" t="s">
        <v>371</v>
      </c>
      <c r="B10" s="4">
        <f>$J$7*C10</f>
        <v>0</v>
      </c>
      <c r="C10" s="10">
        <f>'N+1 '!J15</f>
        <v>0.12</v>
      </c>
    </row>
    <row r="11" spans="1:14" ht="14.4" x14ac:dyDescent="0.3">
      <c r="A11" s="19" t="s">
        <v>372</v>
      </c>
      <c r="B11" s="4">
        <f>$J$7*C11</f>
        <v>0</v>
      </c>
      <c r="C11" s="10">
        <f>1-C10</f>
        <v>0.88</v>
      </c>
    </row>
    <row r="12" spans="1:14" x14ac:dyDescent="0.3">
      <c r="A12" s="19" t="s">
        <v>286</v>
      </c>
      <c r="B12" s="4">
        <f>SUM(B10:B11)</f>
        <v>0</v>
      </c>
      <c r="C12" s="10">
        <f>SUM(C10:C11)</f>
        <v>1</v>
      </c>
    </row>
    <row r="14" spans="1:14" x14ac:dyDescent="0.3">
      <c r="A14" s="69" t="s">
        <v>373</v>
      </c>
      <c r="B14" s="83" t="s">
        <v>369</v>
      </c>
      <c r="C14" s="84" t="s">
        <v>370</v>
      </c>
      <c r="M14" s="16"/>
      <c r="N14" s="16"/>
    </row>
    <row r="15" spans="1:14" ht="14.4" x14ac:dyDescent="0.3">
      <c r="A15" s="19" t="s">
        <v>371</v>
      </c>
      <c r="B15" s="4">
        <f>$J$7*C15</f>
        <v>0</v>
      </c>
      <c r="C15" s="10">
        <f>C10</f>
        <v>0.12</v>
      </c>
      <c r="M15" s="16"/>
      <c r="N15" s="16"/>
    </row>
    <row r="16" spans="1:14" ht="14.4" x14ac:dyDescent="0.3">
      <c r="A16" s="19" t="s">
        <v>372</v>
      </c>
      <c r="B16" s="4">
        <f>$J$7*C16</f>
        <v>0</v>
      </c>
      <c r="C16" s="10">
        <f>C22-C10</f>
        <v>0.83</v>
      </c>
      <c r="D16" t="s">
        <v>374</v>
      </c>
      <c r="M16" s="16"/>
      <c r="N16" s="16"/>
    </row>
    <row r="17" spans="1:11" ht="14.4" x14ac:dyDescent="0.3">
      <c r="A17" s="19" t="s">
        <v>375</v>
      </c>
      <c r="B17" s="4">
        <f>$J$7*C17</f>
        <v>0</v>
      </c>
      <c r="C17" s="10">
        <f>1-C22</f>
        <v>5.0000000000000044E-2</v>
      </c>
    </row>
    <row r="18" spans="1:11" x14ac:dyDescent="0.3">
      <c r="A18" s="19" t="s">
        <v>286</v>
      </c>
      <c r="B18" s="4">
        <f>SUM(B15:B17)</f>
        <v>0</v>
      </c>
      <c r="C18" s="10">
        <f>SUM(C15:C17)</f>
        <v>1</v>
      </c>
    </row>
    <row r="21" spans="1:11" x14ac:dyDescent="0.3">
      <c r="A21" s="83" t="s">
        <v>376</v>
      </c>
      <c r="B21" s="83" t="s">
        <v>369</v>
      </c>
      <c r="C21" s="84" t="s">
        <v>370</v>
      </c>
      <c r="D21" s="70" t="s">
        <v>377</v>
      </c>
    </row>
    <row r="22" spans="1:11" ht="14.4" x14ac:dyDescent="0.3">
      <c r="A22" s="19" t="str">
        <f>"Payment ceiling at "&amp;TEXT(C22,"0%")</f>
        <v>Payment ceiling at 95%</v>
      </c>
      <c r="B22" s="4">
        <f>$J$7*C22</f>
        <v>0</v>
      </c>
      <c r="C22" s="20">
        <v>0.95</v>
      </c>
      <c r="D22" s="4">
        <f>J7-B22</f>
        <v>0</v>
      </c>
      <c r="E22" t="s">
        <v>378</v>
      </c>
    </row>
    <row r="23" spans="1:11" ht="14.4" x14ac:dyDescent="0.3">
      <c r="A23" s="19" t="s">
        <v>379</v>
      </c>
      <c r="B23" s="98"/>
      <c r="C23" s="85">
        <f>C10</f>
        <v>0.12</v>
      </c>
      <c r="D23" s="4">
        <f>B10</f>
        <v>0</v>
      </c>
    </row>
    <row r="24" spans="1:11" x14ac:dyDescent="0.3">
      <c r="A24" s="19" t="s">
        <v>380</v>
      </c>
      <c r="B24" s="4">
        <f>B16</f>
        <v>0</v>
      </c>
      <c r="C24" s="85">
        <f>C22-C23</f>
        <v>0.83</v>
      </c>
      <c r="D24" s="4">
        <f>SUM(D22:D23)</f>
        <v>0</v>
      </c>
    </row>
    <row r="27" spans="1:11" ht="30.05" x14ac:dyDescent="0.3">
      <c r="A27" s="83" t="s">
        <v>381</v>
      </c>
      <c r="B27" s="70">
        <v>2028</v>
      </c>
      <c r="C27" s="70">
        <v>2029</v>
      </c>
      <c r="D27" s="70">
        <v>2030</v>
      </c>
      <c r="E27" s="70">
        <v>2031</v>
      </c>
      <c r="F27" s="70">
        <v>2032</v>
      </c>
      <c r="G27" s="70">
        <v>2033</v>
      </c>
      <c r="H27" s="70">
        <v>2034</v>
      </c>
      <c r="I27" s="70">
        <v>2035</v>
      </c>
      <c r="J27" s="70" t="s">
        <v>362</v>
      </c>
      <c r="K27" s="70" t="s">
        <v>319</v>
      </c>
    </row>
    <row r="28" spans="1:11" x14ac:dyDescent="0.3">
      <c r="A28" s="19" t="s">
        <v>371</v>
      </c>
      <c r="B28" s="50">
        <f>'N+1 '!B16</f>
        <v>0</v>
      </c>
      <c r="C28" s="50">
        <f>'N+1 '!C16</f>
        <v>0</v>
      </c>
      <c r="D28" s="50">
        <f>'N+1 '!D16</f>
        <v>0</v>
      </c>
      <c r="E28" s="50">
        <f>'N+1 '!E16</f>
        <v>0</v>
      </c>
      <c r="F28" s="50">
        <f>'N+1 '!F16</f>
        <v>0</v>
      </c>
      <c r="G28" s="50">
        <f>'N+1 '!G16</f>
        <v>0</v>
      </c>
      <c r="H28" s="50">
        <f>'N+1 '!H16</f>
        <v>0</v>
      </c>
      <c r="I28" s="50">
        <f>'N+1 '!I16</f>
        <v>0</v>
      </c>
      <c r="J28" s="98"/>
      <c r="K28" s="64">
        <f>SUM(B28:I28)</f>
        <v>0</v>
      </c>
    </row>
    <row r="29" spans="1:11" x14ac:dyDescent="0.3">
      <c r="A29" s="19" t="s">
        <v>382</v>
      </c>
      <c r="B29" s="50">
        <f t="shared" ref="B29:I31" si="1">B5</f>
        <v>0</v>
      </c>
      <c r="C29" s="50">
        <f t="shared" si="1"/>
        <v>0</v>
      </c>
      <c r="D29" s="50">
        <f t="shared" si="1"/>
        <v>0</v>
      </c>
      <c r="E29" s="50">
        <f t="shared" si="1"/>
        <v>0</v>
      </c>
      <c r="F29" s="50">
        <f t="shared" si="1"/>
        <v>0</v>
      </c>
      <c r="G29" s="50">
        <f t="shared" si="1"/>
        <v>0</v>
      </c>
      <c r="H29" s="50">
        <f t="shared" si="1"/>
        <v>0</v>
      </c>
      <c r="I29" s="50">
        <f t="shared" si="1"/>
        <v>0</v>
      </c>
      <c r="J29" s="98"/>
      <c r="K29" s="64">
        <f>SUM(B29:I29)</f>
        <v>0</v>
      </c>
    </row>
    <row r="30" spans="1:11" x14ac:dyDescent="0.3">
      <c r="A30" s="19" t="s">
        <v>42</v>
      </c>
      <c r="B30" s="50">
        <f t="shared" si="1"/>
        <v>0</v>
      </c>
      <c r="C30" s="50">
        <f t="shared" si="1"/>
        <v>0</v>
      </c>
      <c r="D30" s="50">
        <f t="shared" si="1"/>
        <v>0</v>
      </c>
      <c r="E30" s="50">
        <f t="shared" si="1"/>
        <v>0</v>
      </c>
      <c r="F30" s="50">
        <f t="shared" si="1"/>
        <v>0</v>
      </c>
      <c r="G30" s="50">
        <f t="shared" si="1"/>
        <v>0</v>
      </c>
      <c r="H30" s="50">
        <f t="shared" si="1"/>
        <v>0</v>
      </c>
      <c r="I30" s="50">
        <f t="shared" si="1"/>
        <v>0</v>
      </c>
      <c r="J30" s="98"/>
      <c r="K30" s="64">
        <f>SUM(B30:I30)</f>
        <v>0</v>
      </c>
    </row>
    <row r="31" spans="1:11" x14ac:dyDescent="0.3">
      <c r="A31" s="19" t="s">
        <v>383</v>
      </c>
      <c r="B31" s="50">
        <f t="shared" si="1"/>
        <v>0</v>
      </c>
      <c r="C31" s="50">
        <f t="shared" si="1"/>
        <v>0</v>
      </c>
      <c r="D31" s="50">
        <f t="shared" si="1"/>
        <v>0</v>
      </c>
      <c r="E31" s="50">
        <f t="shared" si="1"/>
        <v>0</v>
      </c>
      <c r="F31" s="50">
        <f t="shared" si="1"/>
        <v>0</v>
      </c>
      <c r="G31" s="50">
        <f t="shared" si="1"/>
        <v>0</v>
      </c>
      <c r="H31" s="50">
        <f t="shared" si="1"/>
        <v>0</v>
      </c>
      <c r="I31" s="50">
        <f t="shared" si="1"/>
        <v>0</v>
      </c>
      <c r="J31" s="98"/>
      <c r="K31" s="64">
        <f>SUM(B31:I31)</f>
        <v>0</v>
      </c>
    </row>
    <row r="32" spans="1:11" x14ac:dyDescent="0.3">
      <c r="A32" s="19" t="s">
        <v>384</v>
      </c>
      <c r="B32" s="50">
        <f>B31</f>
        <v>0</v>
      </c>
      <c r="C32" s="50">
        <f t="shared" ref="C32:I32" si="2">B32+C31</f>
        <v>0</v>
      </c>
      <c r="D32" s="50">
        <f t="shared" si="2"/>
        <v>0</v>
      </c>
      <c r="E32" s="50">
        <f t="shared" si="2"/>
        <v>0</v>
      </c>
      <c r="F32" s="50">
        <f t="shared" si="2"/>
        <v>0</v>
      </c>
      <c r="G32" s="50">
        <f t="shared" si="2"/>
        <v>0</v>
      </c>
      <c r="H32" s="50">
        <f t="shared" si="2"/>
        <v>0</v>
      </c>
      <c r="I32" s="50">
        <f t="shared" si="2"/>
        <v>0</v>
      </c>
      <c r="J32" s="98"/>
      <c r="K32" s="107"/>
    </row>
    <row r="33" spans="1:12" x14ac:dyDescent="0.3">
      <c r="A33" s="19" t="s">
        <v>385</v>
      </c>
      <c r="B33" s="50">
        <f>B32+SUM($B28:B28)</f>
        <v>0</v>
      </c>
      <c r="C33" s="50">
        <f>C32+SUM($B28:C28)</f>
        <v>0</v>
      </c>
      <c r="D33" s="50">
        <f>D32+SUM($B28:D28)</f>
        <v>0</v>
      </c>
      <c r="E33" s="50">
        <f>E32+SUM($B28:E28)</f>
        <v>0</v>
      </c>
      <c r="F33" s="50">
        <f>F32+SUM($B28:F28)</f>
        <v>0</v>
      </c>
      <c r="G33" s="50">
        <f>G32+SUM($B28:G28)</f>
        <v>0</v>
      </c>
      <c r="H33" s="50">
        <f>H32+SUM($B28:H28)</f>
        <v>0</v>
      </c>
      <c r="I33" s="50">
        <f>I32+SUM($B28:I28)</f>
        <v>0</v>
      </c>
      <c r="J33" s="98"/>
      <c r="K33" s="107"/>
    </row>
    <row r="34" spans="1:12" x14ac:dyDescent="0.3">
      <c r="A34" s="19" t="str">
        <f>"amount above "&amp;TEXT($C$22,"0%")&amp;" ceiling"</f>
        <v>amount above 95% ceiling</v>
      </c>
      <c r="B34" s="50">
        <f t="shared" ref="B34:I34" si="3">IF(B33&gt;$B$22, B33-$B$22, 0)</f>
        <v>0</v>
      </c>
      <c r="C34" s="50">
        <f t="shared" si="3"/>
        <v>0</v>
      </c>
      <c r="D34" s="50">
        <f t="shared" si="3"/>
        <v>0</v>
      </c>
      <c r="E34" s="50">
        <f t="shared" si="3"/>
        <v>0</v>
      </c>
      <c r="F34" s="50">
        <f t="shared" si="3"/>
        <v>0</v>
      </c>
      <c r="G34" s="50">
        <f t="shared" si="3"/>
        <v>0</v>
      </c>
      <c r="H34" s="50">
        <f t="shared" si="3"/>
        <v>0</v>
      </c>
      <c r="I34" s="50">
        <f t="shared" si="3"/>
        <v>0</v>
      </c>
      <c r="J34" s="98"/>
      <c r="K34" s="107"/>
    </row>
    <row r="35" spans="1:12" x14ac:dyDescent="0.3">
      <c r="A35" s="19" t="s">
        <v>376</v>
      </c>
      <c r="B35" s="50">
        <f>MIN(B33,$B$22)-B28-B31</f>
        <v>0</v>
      </c>
      <c r="C35" s="50">
        <f t="shared" ref="C35:I35" si="4">MIN(C33,$B$22)-MIN(B33,$B$22)-C28-C31</f>
        <v>0</v>
      </c>
      <c r="D35" s="50">
        <f t="shared" si="4"/>
        <v>0</v>
      </c>
      <c r="E35" s="50">
        <f t="shared" si="4"/>
        <v>0</v>
      </c>
      <c r="F35" s="50">
        <f t="shared" si="4"/>
        <v>0</v>
      </c>
      <c r="G35" s="50">
        <f t="shared" si="4"/>
        <v>0</v>
      </c>
      <c r="H35" s="50">
        <f t="shared" si="4"/>
        <v>0</v>
      </c>
      <c r="I35" s="50">
        <f t="shared" si="4"/>
        <v>0</v>
      </c>
      <c r="J35" s="98"/>
      <c r="K35" s="64">
        <f>SUM(B35:I35)</f>
        <v>0</v>
      </c>
      <c r="L35" s="80"/>
    </row>
    <row r="36" spans="1:12" x14ac:dyDescent="0.3">
      <c r="A36" s="19" t="str">
        <f>TEXT(1-$C$22,"0%")&amp;" paid after programme closure"</f>
        <v>5% paid after programme closure</v>
      </c>
      <c r="B36" s="98"/>
      <c r="C36" s="98"/>
      <c r="D36" s="98"/>
      <c r="E36" s="98"/>
      <c r="F36" s="98"/>
      <c r="G36" s="98"/>
      <c r="H36" s="98"/>
      <c r="I36" s="98"/>
      <c r="J36" s="50">
        <f>D22</f>
        <v>0</v>
      </c>
      <c r="K36" s="64">
        <f>SUM(B36:J36)</f>
        <v>0</v>
      </c>
    </row>
    <row r="37" spans="1:12" x14ac:dyDescent="0.3">
      <c r="A37" s="19" t="s">
        <v>386</v>
      </c>
      <c r="B37" s="64">
        <f t="shared" ref="B37:J37" si="5">B31+B35+B36</f>
        <v>0</v>
      </c>
      <c r="C37" s="64">
        <f t="shared" si="5"/>
        <v>0</v>
      </c>
      <c r="D37" s="64">
        <f t="shared" si="5"/>
        <v>0</v>
      </c>
      <c r="E37" s="64">
        <f t="shared" si="5"/>
        <v>0</v>
      </c>
      <c r="F37" s="64">
        <f t="shared" si="5"/>
        <v>0</v>
      </c>
      <c r="G37" s="64">
        <f t="shared" si="5"/>
        <v>0</v>
      </c>
      <c r="H37" s="64">
        <f t="shared" si="5"/>
        <v>0</v>
      </c>
      <c r="I37" s="64">
        <f t="shared" si="5"/>
        <v>0</v>
      </c>
      <c r="J37" s="64">
        <f t="shared" si="5"/>
        <v>0</v>
      </c>
      <c r="K37" s="64">
        <f>SUM(B37:J37)</f>
        <v>0</v>
      </c>
    </row>
    <row r="38" spans="1:12" x14ac:dyDescent="0.3">
      <c r="A38" s="19" t="s">
        <v>387</v>
      </c>
      <c r="B38" s="93">
        <f t="shared" ref="B38:I38" si="6">IF(B31=0,0,B37/B31)</f>
        <v>0</v>
      </c>
      <c r="C38" s="93">
        <f t="shared" si="6"/>
        <v>0</v>
      </c>
      <c r="D38" s="93">
        <f t="shared" si="6"/>
        <v>0</v>
      </c>
      <c r="E38" s="93">
        <f t="shared" si="6"/>
        <v>0</v>
      </c>
      <c r="F38" s="93">
        <f t="shared" si="6"/>
        <v>0</v>
      </c>
      <c r="G38" s="93">
        <f t="shared" si="6"/>
        <v>0</v>
      </c>
      <c r="H38" s="93">
        <f t="shared" si="6"/>
        <v>0</v>
      </c>
      <c r="I38" s="93">
        <f t="shared" si="6"/>
        <v>0</v>
      </c>
      <c r="J38" s="98"/>
      <c r="K38" s="98"/>
      <c r="L38" s="7"/>
    </row>
    <row r="39" spans="1:12" x14ac:dyDescent="0.3">
      <c r="A39" s="140" t="str">
        <f>"* calculated value, no "&amp;TEXT($C$22,"0%")&amp;" ceiling or clearing of pre-financing"</f>
        <v>* calculated value, no 95% ceiling or clearing of pre-financing</v>
      </c>
    </row>
    <row r="41" spans="1:12" x14ac:dyDescent="0.3">
      <c r="A41" s="83" t="s">
        <v>388</v>
      </c>
      <c r="B41" s="70">
        <v>2028</v>
      </c>
      <c r="C41" s="70">
        <v>2029</v>
      </c>
      <c r="D41" s="70">
        <v>2030</v>
      </c>
      <c r="E41" s="70">
        <v>2031</v>
      </c>
      <c r="F41" s="70">
        <v>2032</v>
      </c>
      <c r="G41" s="70">
        <v>2033</v>
      </c>
      <c r="H41" s="70">
        <v>2034</v>
      </c>
      <c r="I41" s="70">
        <v>2035</v>
      </c>
      <c r="J41" s="70" t="s">
        <v>362</v>
      </c>
      <c r="K41" s="70" t="s">
        <v>319</v>
      </c>
    </row>
    <row r="42" spans="1:12" x14ac:dyDescent="0.3">
      <c r="A42" s="19" t="s">
        <v>371</v>
      </c>
      <c r="B42" s="50">
        <f t="shared" ref="B42:J42" si="7">B28</f>
        <v>0</v>
      </c>
      <c r="C42" s="50">
        <f t="shared" si="7"/>
        <v>0</v>
      </c>
      <c r="D42" s="50">
        <f t="shared" si="7"/>
        <v>0</v>
      </c>
      <c r="E42" s="50">
        <f t="shared" si="7"/>
        <v>0</v>
      </c>
      <c r="F42" s="50">
        <f t="shared" si="7"/>
        <v>0</v>
      </c>
      <c r="G42" s="50">
        <f t="shared" si="7"/>
        <v>0</v>
      </c>
      <c r="H42" s="50">
        <f t="shared" si="7"/>
        <v>0</v>
      </c>
      <c r="I42" s="50">
        <f t="shared" si="7"/>
        <v>0</v>
      </c>
      <c r="J42" s="50">
        <f t="shared" si="7"/>
        <v>0</v>
      </c>
      <c r="K42" s="64">
        <f>SUM(B42:J42)</f>
        <v>0</v>
      </c>
    </row>
    <row r="43" spans="1:12" x14ac:dyDescent="0.3">
      <c r="A43" s="19" t="s">
        <v>386</v>
      </c>
      <c r="B43" s="50">
        <f t="shared" ref="B43:J43" si="8">B37</f>
        <v>0</v>
      </c>
      <c r="C43" s="50">
        <f t="shared" si="8"/>
        <v>0</v>
      </c>
      <c r="D43" s="50">
        <f t="shared" si="8"/>
        <v>0</v>
      </c>
      <c r="E43" s="50">
        <f t="shared" si="8"/>
        <v>0</v>
      </c>
      <c r="F43" s="50">
        <f t="shared" si="8"/>
        <v>0</v>
      </c>
      <c r="G43" s="50">
        <f t="shared" si="8"/>
        <v>0</v>
      </c>
      <c r="H43" s="50">
        <f t="shared" si="8"/>
        <v>0</v>
      </c>
      <c r="I43" s="50">
        <f t="shared" si="8"/>
        <v>0</v>
      </c>
      <c r="J43" s="50">
        <f t="shared" si="8"/>
        <v>0</v>
      </c>
      <c r="K43" s="64">
        <f>SUM(B43:J43)</f>
        <v>0</v>
      </c>
      <c r="L43" s="81"/>
    </row>
    <row r="44" spans="1:12" x14ac:dyDescent="0.3">
      <c r="A44" s="19" t="s">
        <v>389</v>
      </c>
      <c r="B44" s="50">
        <f t="shared" ref="B44:J44" si="9">SUM(B42:B43)</f>
        <v>0</v>
      </c>
      <c r="C44" s="50">
        <f t="shared" si="9"/>
        <v>0</v>
      </c>
      <c r="D44" s="50">
        <f t="shared" si="9"/>
        <v>0</v>
      </c>
      <c r="E44" s="50">
        <f t="shared" si="9"/>
        <v>0</v>
      </c>
      <c r="F44" s="50">
        <f t="shared" si="9"/>
        <v>0</v>
      </c>
      <c r="G44" s="50">
        <f t="shared" si="9"/>
        <v>0</v>
      </c>
      <c r="H44" s="50">
        <f t="shared" si="9"/>
        <v>0</v>
      </c>
      <c r="I44" s="50">
        <f t="shared" si="9"/>
        <v>0</v>
      </c>
      <c r="J44" s="50">
        <f t="shared" si="9"/>
        <v>0</v>
      </c>
      <c r="K44" s="64">
        <f>SUM(B44:J44)</f>
        <v>0</v>
      </c>
    </row>
    <row r="45" spans="1:12" x14ac:dyDescent="0.3">
      <c r="A45" s="19" t="s">
        <v>390</v>
      </c>
      <c r="B45" s="50">
        <f>B44/(1+'pay out values'!$E$19)</f>
        <v>0</v>
      </c>
      <c r="C45" s="50">
        <f>C44/(1+'pay out values'!$E$19)</f>
        <v>0</v>
      </c>
      <c r="D45" s="50">
        <f>D44/(1+'pay out values'!$E$19)</f>
        <v>0</v>
      </c>
      <c r="E45" s="50">
        <f>E44/(1+'pay out values'!$E$19)</f>
        <v>0</v>
      </c>
      <c r="F45" s="50">
        <f>F44/(1+'pay out values'!$E$19)</f>
        <v>0</v>
      </c>
      <c r="G45" s="50">
        <f>G44/(1+'pay out values'!$E$19)</f>
        <v>0</v>
      </c>
      <c r="H45" s="50">
        <f>H44/(1+'pay out values'!$E$19)</f>
        <v>0</v>
      </c>
      <c r="I45" s="50">
        <f>I44/(1+'pay out values'!$E$19)</f>
        <v>0</v>
      </c>
      <c r="J45" s="50">
        <f>J44/(1+'pay out values'!$E$19)</f>
        <v>0</v>
      </c>
      <c r="K45" s="64">
        <f>SUM(B45:J45)</f>
        <v>0</v>
      </c>
    </row>
    <row r="46" spans="1:12" x14ac:dyDescent="0.3">
      <c r="A46" s="19" t="s">
        <v>42</v>
      </c>
      <c r="B46" s="50">
        <f t="shared" ref="B46:J46" si="10">B44-B45</f>
        <v>0</v>
      </c>
      <c r="C46" s="50">
        <f t="shared" si="10"/>
        <v>0</v>
      </c>
      <c r="D46" s="50">
        <f t="shared" si="10"/>
        <v>0</v>
      </c>
      <c r="E46" s="50">
        <f t="shared" si="10"/>
        <v>0</v>
      </c>
      <c r="F46" s="50">
        <f t="shared" si="10"/>
        <v>0</v>
      </c>
      <c r="G46" s="50">
        <f t="shared" si="10"/>
        <v>0</v>
      </c>
      <c r="H46" s="50">
        <f t="shared" si="10"/>
        <v>0</v>
      </c>
      <c r="I46" s="50">
        <f t="shared" si="10"/>
        <v>0</v>
      </c>
      <c r="J46" s="50">
        <f t="shared" si="10"/>
        <v>0</v>
      </c>
      <c r="K46" s="64">
        <f>SUM(B46:J46)</f>
        <v>0</v>
      </c>
    </row>
    <row r="49" spans="1:14" x14ac:dyDescent="0.3">
      <c r="A49" s="83" t="s">
        <v>388</v>
      </c>
      <c r="B49" s="70">
        <v>2028</v>
      </c>
      <c r="C49" s="70">
        <v>2029</v>
      </c>
      <c r="D49" s="70">
        <v>2030</v>
      </c>
      <c r="E49" s="70">
        <v>2031</v>
      </c>
      <c r="F49" s="70">
        <v>2032</v>
      </c>
      <c r="G49" s="70">
        <v>2033</v>
      </c>
      <c r="H49" s="70">
        <v>2034</v>
      </c>
      <c r="I49" s="70">
        <v>2035</v>
      </c>
      <c r="J49" s="70" t="s">
        <v>362</v>
      </c>
      <c r="K49" s="70" t="s">
        <v>319</v>
      </c>
    </row>
    <row r="50" spans="1:14" x14ac:dyDescent="0.3">
      <c r="A50" s="19" t="s">
        <v>391</v>
      </c>
      <c r="B50" s="50">
        <f t="shared" ref="B50:I50" si="11">B28</f>
        <v>0</v>
      </c>
      <c r="C50" s="50">
        <f t="shared" si="11"/>
        <v>0</v>
      </c>
      <c r="D50" s="50">
        <f t="shared" si="11"/>
        <v>0</v>
      </c>
      <c r="E50" s="50">
        <f t="shared" si="11"/>
        <v>0</v>
      </c>
      <c r="F50" s="50">
        <f t="shared" si="11"/>
        <v>0</v>
      </c>
      <c r="G50" s="50">
        <f t="shared" si="11"/>
        <v>0</v>
      </c>
      <c r="H50" s="50">
        <f t="shared" si="11"/>
        <v>0</v>
      </c>
      <c r="I50" s="50">
        <f t="shared" si="11"/>
        <v>0</v>
      </c>
      <c r="J50" s="50"/>
      <c r="K50" s="64">
        <f>SUM(B50:J50)</f>
        <v>0</v>
      </c>
    </row>
    <row r="51" spans="1:14" x14ac:dyDescent="0.3">
      <c r="A51" s="19" t="s">
        <v>392</v>
      </c>
      <c r="B51" s="50">
        <f t="shared" ref="B51:J51" si="12">B37</f>
        <v>0</v>
      </c>
      <c r="C51" s="50">
        <f t="shared" si="12"/>
        <v>0</v>
      </c>
      <c r="D51" s="50">
        <f t="shared" si="12"/>
        <v>0</v>
      </c>
      <c r="E51" s="50">
        <f t="shared" si="12"/>
        <v>0</v>
      </c>
      <c r="F51" s="50">
        <f t="shared" si="12"/>
        <v>0</v>
      </c>
      <c r="G51" s="50">
        <f t="shared" si="12"/>
        <v>0</v>
      </c>
      <c r="H51" s="50">
        <f t="shared" si="12"/>
        <v>0</v>
      </c>
      <c r="I51" s="50">
        <f t="shared" si="12"/>
        <v>0</v>
      </c>
      <c r="J51" s="50">
        <f t="shared" si="12"/>
        <v>0</v>
      </c>
      <c r="K51" s="64">
        <f>SUM(B51:J51)</f>
        <v>0</v>
      </c>
    </row>
    <row r="52" spans="1:14" x14ac:dyDescent="0.3">
      <c r="A52" s="19" t="s">
        <v>393</v>
      </c>
      <c r="B52" s="50">
        <f t="shared" ref="B52:J52" si="13">B50+B51</f>
        <v>0</v>
      </c>
      <c r="C52" s="50">
        <f t="shared" si="13"/>
        <v>0</v>
      </c>
      <c r="D52" s="50">
        <f t="shared" si="13"/>
        <v>0</v>
      </c>
      <c r="E52" s="50">
        <f t="shared" si="13"/>
        <v>0</v>
      </c>
      <c r="F52" s="50">
        <f t="shared" si="13"/>
        <v>0</v>
      </c>
      <c r="G52" s="50">
        <f t="shared" si="13"/>
        <v>0</v>
      </c>
      <c r="H52" s="50">
        <f t="shared" si="13"/>
        <v>0</v>
      </c>
      <c r="I52" s="50">
        <f t="shared" si="13"/>
        <v>0</v>
      </c>
      <c r="J52" s="50">
        <f t="shared" si="13"/>
        <v>0</v>
      </c>
      <c r="K52" s="64">
        <f>SUM(B52:J52)</f>
        <v>0</v>
      </c>
    </row>
    <row r="53" spans="1:14" x14ac:dyDescent="0.3">
      <c r="A53" s="13"/>
      <c r="B53" s="70">
        <v>2028</v>
      </c>
      <c r="C53" s="70">
        <v>2029</v>
      </c>
      <c r="D53" s="70">
        <v>2030</v>
      </c>
      <c r="E53" s="70">
        <v>2031</v>
      </c>
      <c r="F53" s="70">
        <v>2032</v>
      </c>
      <c r="G53" s="70">
        <v>2033</v>
      </c>
      <c r="H53" s="70">
        <v>2034</v>
      </c>
      <c r="I53" s="70">
        <v>2035</v>
      </c>
      <c r="J53" s="70" t="s">
        <v>362</v>
      </c>
    </row>
    <row r="54" spans="1:14" x14ac:dyDescent="0.3">
      <c r="A54" s="19" t="s">
        <v>394</v>
      </c>
      <c r="B54" s="50">
        <f>B52</f>
        <v>0</v>
      </c>
      <c r="C54" s="50">
        <f t="shared" ref="C54:J54" si="14">B54+C52</f>
        <v>0</v>
      </c>
      <c r="D54" s="50">
        <f t="shared" si="14"/>
        <v>0</v>
      </c>
      <c r="E54" s="50">
        <f t="shared" si="14"/>
        <v>0</v>
      </c>
      <c r="F54" s="50">
        <f t="shared" si="14"/>
        <v>0</v>
      </c>
      <c r="G54" s="50">
        <f t="shared" si="14"/>
        <v>0</v>
      </c>
      <c r="H54" s="50">
        <f t="shared" si="14"/>
        <v>0</v>
      </c>
      <c r="I54" s="50">
        <f t="shared" si="14"/>
        <v>0</v>
      </c>
      <c r="J54" s="50">
        <f t="shared" si="14"/>
        <v>0</v>
      </c>
    </row>
    <row r="55" spans="1:14" x14ac:dyDescent="0.3">
      <c r="A55" s="19" t="str">
        <f>$A$22</f>
        <v>Payment ceiling at 95%</v>
      </c>
      <c r="B55" s="50">
        <f t="shared" ref="B55:J55" si="15">$B$22</f>
        <v>0</v>
      </c>
      <c r="C55" s="50">
        <f t="shared" si="15"/>
        <v>0</v>
      </c>
      <c r="D55" s="50">
        <f t="shared" si="15"/>
        <v>0</v>
      </c>
      <c r="E55" s="50">
        <f t="shared" si="15"/>
        <v>0</v>
      </c>
      <c r="F55" s="50">
        <f t="shared" si="15"/>
        <v>0</v>
      </c>
      <c r="G55" s="50">
        <f t="shared" si="15"/>
        <v>0</v>
      </c>
      <c r="H55" s="50">
        <f t="shared" si="15"/>
        <v>0</v>
      </c>
      <c r="I55" s="50">
        <f t="shared" si="15"/>
        <v>0</v>
      </c>
      <c r="J55" s="50">
        <f t="shared" si="15"/>
        <v>0</v>
      </c>
    </row>
    <row r="56" spans="1:14" x14ac:dyDescent="0.3">
      <c r="A56" s="19" t="s">
        <v>366</v>
      </c>
      <c r="B56" s="50">
        <f t="shared" ref="B56:J56" si="16">$J$7</f>
        <v>0</v>
      </c>
      <c r="C56" s="50">
        <f t="shared" si="16"/>
        <v>0</v>
      </c>
      <c r="D56" s="50">
        <f t="shared" si="16"/>
        <v>0</v>
      </c>
      <c r="E56" s="50">
        <f t="shared" si="16"/>
        <v>0</v>
      </c>
      <c r="F56" s="50">
        <f t="shared" si="16"/>
        <v>0</v>
      </c>
      <c r="G56" s="50">
        <f t="shared" si="16"/>
        <v>0</v>
      </c>
      <c r="H56" s="50">
        <f t="shared" si="16"/>
        <v>0</v>
      </c>
      <c r="I56" s="50">
        <f t="shared" si="16"/>
        <v>0</v>
      </c>
      <c r="J56" s="50">
        <f t="shared" si="16"/>
        <v>0</v>
      </c>
    </row>
    <row r="57" spans="1:14" x14ac:dyDescent="0.3">
      <c r="A57" s="19" t="s">
        <v>395</v>
      </c>
      <c r="B57" s="50">
        <f t="shared" ref="B57:J57" si="17">$J$7-$B$10</f>
        <v>0</v>
      </c>
      <c r="C57" s="50">
        <f t="shared" si="17"/>
        <v>0</v>
      </c>
      <c r="D57" s="50">
        <f t="shared" si="17"/>
        <v>0</v>
      </c>
      <c r="E57" s="50">
        <f t="shared" si="17"/>
        <v>0</v>
      </c>
      <c r="F57" s="50">
        <f t="shared" si="17"/>
        <v>0</v>
      </c>
      <c r="G57" s="50">
        <f t="shared" si="17"/>
        <v>0</v>
      </c>
      <c r="H57" s="50">
        <f t="shared" si="17"/>
        <v>0</v>
      </c>
      <c r="I57" s="50">
        <f t="shared" si="17"/>
        <v>0</v>
      </c>
      <c r="J57" s="50">
        <f t="shared" si="17"/>
        <v>0</v>
      </c>
    </row>
    <row r="64" spans="1:14" x14ac:dyDescent="0.3">
      <c r="N64" s="141"/>
    </row>
  </sheetData>
  <mergeCells count="3">
    <mergeCell ref="A3:A4"/>
    <mergeCell ref="B3:J3"/>
    <mergeCell ref="A1:K1"/>
  </mergeCells>
  <conditionalFormatting sqref="A1:N60">
    <cfRule type="expression" dxfId="34" priority="100">
      <formula>ISERROR(A1)</formula>
    </cfRule>
  </conditionalFormatting>
  <conditionalFormatting sqref="B33:I33">
    <cfRule type="cellIs" dxfId="33" priority="1" operator="greaterThan">
      <formula>$B$22</formula>
    </cfRule>
  </conditionalFormatting>
  <conditionalFormatting sqref="K37">
    <cfRule type="cellIs" dxfId="32" priority="2" operator="equal">
      <formula>$B$11</formula>
    </cfRule>
  </conditionalFormatting>
  <dataValidations count="1">
    <dataValidation type="decimal" allowBlank="1" showInputMessage="1" showErrorMessage="1" errorTitle="Enter a percentage between 50% and 100%." error="Percentage required" promptTitle="Payment ceiling (%)" prompt="Enter the ceiling for pre-financing plus interim payments as % of the Union contribution. 95% in the Council text (Art.65(7) NRPP); the EP draft report for the NRP Plan proposes 90%. Editable." sqref="C22" xr:uid="{00000000-0002-0000-0500-000000000000}">
      <formula1>0.5</formula1>
      <formula2>1</formula2>
    </dataValidation>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28EDE-E40F-4464-9CEE-1578F5FB8267}">
  <sheetPr>
    <tabColor theme="8" tint="0.59999389629810485"/>
  </sheetPr>
  <dimension ref="A1:K11"/>
  <sheetViews>
    <sheetView workbookViewId="0">
      <selection activeCell="C47" sqref="C47"/>
    </sheetView>
  </sheetViews>
  <sheetFormatPr defaultRowHeight="15.05" x14ac:dyDescent="0.3"/>
  <cols>
    <col min="1" max="1" width="52.109375" bestFit="1" customWidth="1"/>
    <col min="2" max="9" width="17" customWidth="1"/>
    <col min="10" max="10" width="12.109375" bestFit="1" customWidth="1"/>
    <col min="11" max="11" width="11.44140625" bestFit="1" customWidth="1"/>
  </cols>
  <sheetData>
    <row r="1" spans="1:11" ht="18" x14ac:dyDescent="0.3">
      <c r="A1" s="157" t="s">
        <v>396</v>
      </c>
      <c r="B1" s="157"/>
      <c r="C1" s="157"/>
      <c r="D1" s="157"/>
      <c r="E1" s="157"/>
      <c r="F1" s="157"/>
      <c r="G1" s="157"/>
      <c r="H1" s="157"/>
      <c r="I1" s="157"/>
      <c r="J1" s="157"/>
      <c r="K1" s="157"/>
    </row>
    <row r="2" spans="1:11" ht="18" x14ac:dyDescent="0.3">
      <c r="A2" s="157" t="s">
        <v>397</v>
      </c>
      <c r="B2" s="157"/>
      <c r="C2" s="157"/>
      <c r="D2" s="157"/>
      <c r="E2" s="157"/>
      <c r="F2" s="157"/>
      <c r="G2" s="157"/>
      <c r="H2" s="157"/>
      <c r="I2" s="157"/>
      <c r="J2" s="157"/>
      <c r="K2" s="157"/>
    </row>
    <row r="5" spans="1:11" ht="14.4" x14ac:dyDescent="0.3">
      <c r="A5" s="70" t="s">
        <v>398</v>
      </c>
      <c r="B5" s="70">
        <v>2028</v>
      </c>
      <c r="C5" s="70">
        <v>2029</v>
      </c>
      <c r="D5" s="70">
        <v>2030</v>
      </c>
      <c r="E5" s="70">
        <v>2031</v>
      </c>
      <c r="F5" s="70">
        <v>2032</v>
      </c>
      <c r="G5" s="70">
        <v>2033</v>
      </c>
      <c r="H5" s="70">
        <v>2034</v>
      </c>
      <c r="I5" s="70">
        <v>2035</v>
      </c>
      <c r="J5" s="70" t="s">
        <v>362</v>
      </c>
      <c r="K5" s="70" t="s">
        <v>283</v>
      </c>
    </row>
    <row r="6" spans="1:11" ht="14.4" x14ac:dyDescent="0.3">
      <c r="A6" s="105" t="s">
        <v>399</v>
      </c>
      <c r="B6" s="63">
        <f>'pay out values'!B8</f>
        <v>0</v>
      </c>
      <c r="C6" s="63">
        <f>'pay out values'!C8</f>
        <v>0</v>
      </c>
      <c r="D6" s="63">
        <f>'pay out values'!D8</f>
        <v>0</v>
      </c>
      <c r="E6" s="63">
        <f>'pay out values'!E8</f>
        <v>0</v>
      </c>
      <c r="F6" s="63">
        <f>'pay out values'!F8</f>
        <v>0</v>
      </c>
      <c r="G6" s="63">
        <f>'pay out values'!G8</f>
        <v>0</v>
      </c>
      <c r="H6" s="63">
        <f>'pay out values'!H8</f>
        <v>0</v>
      </c>
      <c r="I6" s="63">
        <f>'pay out values'!I8</f>
        <v>0</v>
      </c>
      <c r="J6" s="96"/>
      <c r="K6" s="61">
        <f>SUM(B6:I6)</f>
        <v>0</v>
      </c>
    </row>
    <row r="7" spans="1:11" ht="14.4" x14ac:dyDescent="0.3">
      <c r="A7" s="18" t="s">
        <v>400</v>
      </c>
      <c r="B7" s="63">
        <f>B6</f>
        <v>0</v>
      </c>
      <c r="C7" s="63">
        <f t="shared" ref="C7:I7" si="0">B7+C6</f>
        <v>0</v>
      </c>
      <c r="D7" s="63">
        <f t="shared" si="0"/>
        <v>0</v>
      </c>
      <c r="E7" s="63">
        <f t="shared" si="0"/>
        <v>0</v>
      </c>
      <c r="F7" s="63">
        <f t="shared" si="0"/>
        <v>0</v>
      </c>
      <c r="G7" s="63">
        <f t="shared" si="0"/>
        <v>0</v>
      </c>
      <c r="H7" s="63">
        <f t="shared" si="0"/>
        <v>0</v>
      </c>
      <c r="I7" s="63">
        <f t="shared" si="0"/>
        <v>0</v>
      </c>
      <c r="J7" s="96"/>
      <c r="K7" s="108"/>
    </row>
    <row r="8" spans="1:11" ht="14.4" x14ac:dyDescent="0.3">
      <c r="A8" s="18" t="s">
        <v>401</v>
      </c>
      <c r="B8" s="93">
        <f t="shared" ref="B8:I8" si="1">IF($K$6=0,0,B7/$K$6)</f>
        <v>0</v>
      </c>
      <c r="C8" s="93">
        <f t="shared" si="1"/>
        <v>0</v>
      </c>
      <c r="D8" s="93">
        <f t="shared" si="1"/>
        <v>0</v>
      </c>
      <c r="E8" s="93">
        <f t="shared" si="1"/>
        <v>0</v>
      </c>
      <c r="F8" s="93">
        <f t="shared" si="1"/>
        <v>0</v>
      </c>
      <c r="G8" s="93">
        <f t="shared" si="1"/>
        <v>0</v>
      </c>
      <c r="H8" s="93">
        <f t="shared" si="1"/>
        <v>0</v>
      </c>
      <c r="I8" s="93">
        <f t="shared" si="1"/>
        <v>0</v>
      </c>
      <c r="J8" s="96"/>
      <c r="K8" s="108"/>
    </row>
    <row r="9" spans="1:11" ht="14.4" x14ac:dyDescent="0.3">
      <c r="A9" s="104" t="s">
        <v>402</v>
      </c>
      <c r="B9" s="63">
        <f>Inflows!B46</f>
        <v>0</v>
      </c>
      <c r="C9" s="63">
        <f>Inflows!C46</f>
        <v>0</v>
      </c>
      <c r="D9" s="63">
        <f>Inflows!D46</f>
        <v>0</v>
      </c>
      <c r="E9" s="63">
        <f>Inflows!E46</f>
        <v>0</v>
      </c>
      <c r="F9" s="63">
        <f>Inflows!F46</f>
        <v>0</v>
      </c>
      <c r="G9" s="63">
        <f>Inflows!G46</f>
        <v>0</v>
      </c>
      <c r="H9" s="63">
        <f>Inflows!H46</f>
        <v>0</v>
      </c>
      <c r="I9" s="63">
        <f>Inflows!I46</f>
        <v>0</v>
      </c>
      <c r="J9" s="63">
        <f>Inflows!J46</f>
        <v>0</v>
      </c>
      <c r="K9" s="61">
        <f>SUM(B9:J9)</f>
        <v>0</v>
      </c>
    </row>
    <row r="10" spans="1:11" ht="14.4" x14ac:dyDescent="0.3">
      <c r="A10" s="80"/>
    </row>
    <row r="11" spans="1:11" ht="14.4" x14ac:dyDescent="0.3">
      <c r="A11" s="80"/>
    </row>
  </sheetData>
  <mergeCells count="2">
    <mergeCell ref="A1:K1"/>
    <mergeCell ref="A2:K2"/>
  </mergeCells>
  <conditionalFormatting sqref="A1:K11">
    <cfRule type="expression" dxfId="31" priority="100">
      <formula>ISERROR(A1)</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637A9-D615-4558-8473-C4465F6E642D}">
  <sheetPr>
    <tabColor theme="3" tint="0.499984740745262"/>
  </sheetPr>
  <dimension ref="A1:K54"/>
  <sheetViews>
    <sheetView workbookViewId="0">
      <selection activeCell="C69" sqref="C69"/>
    </sheetView>
  </sheetViews>
  <sheetFormatPr defaultRowHeight="15.05" x14ac:dyDescent="0.3"/>
  <cols>
    <col min="1" max="1" width="24.5546875" customWidth="1"/>
    <col min="2" max="2" width="29.44140625" bestFit="1" customWidth="1"/>
    <col min="3" max="11" width="15" customWidth="1"/>
  </cols>
  <sheetData>
    <row r="1" spans="1:11" ht="18" x14ac:dyDescent="0.3">
      <c r="A1" s="157" t="s">
        <v>403</v>
      </c>
      <c r="B1" s="157"/>
      <c r="C1" s="157"/>
      <c r="D1" s="157"/>
      <c r="E1" s="157"/>
      <c r="F1" s="157"/>
      <c r="G1" s="157"/>
      <c r="H1" s="157"/>
      <c r="I1" s="157"/>
      <c r="J1" s="157"/>
      <c r="K1" s="157"/>
    </row>
    <row r="2" spans="1:11" ht="18" x14ac:dyDescent="0.3">
      <c r="A2" s="157" t="s">
        <v>281</v>
      </c>
      <c r="B2" s="157"/>
      <c r="C2" s="157"/>
      <c r="D2" s="157"/>
      <c r="E2" s="157"/>
      <c r="F2" s="157"/>
      <c r="G2" s="157"/>
      <c r="H2" s="157"/>
      <c r="I2" s="157"/>
      <c r="J2" s="157"/>
      <c r="K2" s="157"/>
    </row>
    <row r="5" spans="1:11" ht="14.4" x14ac:dyDescent="0.3">
      <c r="A5" s="101" t="s">
        <v>253</v>
      </c>
      <c r="B5" s="101" t="s">
        <v>404</v>
      </c>
      <c r="C5" s="70">
        <v>2028</v>
      </c>
      <c r="D5" s="70">
        <v>2029</v>
      </c>
      <c r="E5" s="70">
        <v>2030</v>
      </c>
      <c r="F5" s="70">
        <v>2031</v>
      </c>
      <c r="G5" s="70">
        <v>2032</v>
      </c>
      <c r="H5" s="70">
        <v>2033</v>
      </c>
      <c r="I5" s="70">
        <v>2034</v>
      </c>
      <c r="J5" s="70">
        <v>2035</v>
      </c>
      <c r="K5" s="70" t="s">
        <v>362</v>
      </c>
    </row>
    <row r="6" spans="1:11" ht="14.4" x14ac:dyDescent="0.3">
      <c r="A6" s="97" t="str">
        <f>'pay out values'!B27</f>
        <v>Measure 1</v>
      </c>
      <c r="B6" s="19" t="s">
        <v>405</v>
      </c>
      <c r="C6" s="50">
        <f>'Measure 1 project payments'!B52</f>
        <v>0</v>
      </c>
      <c r="D6" s="50">
        <f>'Measure 1 project payments'!C52</f>
        <v>0</v>
      </c>
      <c r="E6" s="50">
        <f>'Measure 1 project payments'!D52</f>
        <v>0</v>
      </c>
      <c r="F6" s="50">
        <f>'Measure 1 project payments'!E52</f>
        <v>0</v>
      </c>
      <c r="G6" s="50">
        <f>'Measure 1 project payments'!F52</f>
        <v>0</v>
      </c>
      <c r="H6" s="50">
        <f>'Measure 1 project payments'!G52</f>
        <v>0</v>
      </c>
      <c r="I6" s="50">
        <f>'Measure 1 project payments'!H52</f>
        <v>0</v>
      </c>
      <c r="J6" s="50">
        <f>'Measure 1 project payments'!I52</f>
        <v>0</v>
      </c>
      <c r="K6" s="50">
        <f>'Measure 1 project payments'!J52</f>
        <v>0</v>
      </c>
    </row>
    <row r="7" spans="1:11" ht="14.4" x14ac:dyDescent="0.3">
      <c r="A7" s="97" t="str">
        <f>'pay out values'!B27</f>
        <v>Measure 1</v>
      </c>
      <c r="B7" s="19" t="s">
        <v>406</v>
      </c>
      <c r="C7" s="50">
        <f>'Measure 1 project payments'!B53</f>
        <v>0</v>
      </c>
      <c r="D7" s="50">
        <f>'Measure 1 project payments'!C53</f>
        <v>0</v>
      </c>
      <c r="E7" s="50">
        <f>'Measure 1 project payments'!D53</f>
        <v>0</v>
      </c>
      <c r="F7" s="50">
        <f>'Measure 1 project payments'!E53</f>
        <v>0</v>
      </c>
      <c r="G7" s="50">
        <f>'Measure 1 project payments'!F53</f>
        <v>0</v>
      </c>
      <c r="H7" s="50">
        <f>'Measure 1 project payments'!G53</f>
        <v>0</v>
      </c>
      <c r="I7" s="50">
        <f>'Measure 1 project payments'!H53</f>
        <v>0</v>
      </c>
      <c r="J7" s="50">
        <f>'Measure 1 project payments'!I53</f>
        <v>0</v>
      </c>
      <c r="K7" s="50">
        <f>'Measure 1 project payments'!J53</f>
        <v>0</v>
      </c>
    </row>
    <row r="8" spans="1:11" ht="14.4" x14ac:dyDescent="0.3">
      <c r="A8" s="97" t="str">
        <f>'pay out values'!B28</f>
        <v>Measure 2</v>
      </c>
      <c r="B8" s="19" t="s">
        <v>405</v>
      </c>
      <c r="C8" s="50">
        <f>'Measure 2 project payments'!B52</f>
        <v>0</v>
      </c>
      <c r="D8" s="50">
        <f>'Measure 2 project payments'!C52</f>
        <v>0</v>
      </c>
      <c r="E8" s="50">
        <f>'Measure 2 project payments'!D52</f>
        <v>0</v>
      </c>
      <c r="F8" s="50">
        <f>'Measure 2 project payments'!E52</f>
        <v>0</v>
      </c>
      <c r="G8" s="50">
        <f>'Measure 2 project payments'!F52</f>
        <v>0</v>
      </c>
      <c r="H8" s="50">
        <f>'Measure 2 project payments'!G52</f>
        <v>0</v>
      </c>
      <c r="I8" s="50">
        <f>'Measure 2 project payments'!H52</f>
        <v>0</v>
      </c>
      <c r="J8" s="50">
        <f>'Measure 2 project payments'!I52</f>
        <v>0</v>
      </c>
      <c r="K8" s="50">
        <f>'Measure 2 project payments'!J52</f>
        <v>0</v>
      </c>
    </row>
    <row r="9" spans="1:11" ht="14.4" x14ac:dyDescent="0.3">
      <c r="A9" s="97" t="str">
        <f>'pay out values'!B28</f>
        <v>Measure 2</v>
      </c>
      <c r="B9" s="19" t="s">
        <v>406</v>
      </c>
      <c r="C9" s="50">
        <f>'Measure 2 project payments'!B53</f>
        <v>0</v>
      </c>
      <c r="D9" s="50">
        <f>'Measure 2 project payments'!C53</f>
        <v>0</v>
      </c>
      <c r="E9" s="50">
        <f>'Measure 2 project payments'!D53</f>
        <v>0</v>
      </c>
      <c r="F9" s="50">
        <f>'Measure 2 project payments'!E53</f>
        <v>0</v>
      </c>
      <c r="G9" s="50">
        <f>'Measure 2 project payments'!F53</f>
        <v>0</v>
      </c>
      <c r="H9" s="50">
        <f>'Measure 2 project payments'!G53</f>
        <v>0</v>
      </c>
      <c r="I9" s="50">
        <f>'Measure 2 project payments'!H53</f>
        <v>0</v>
      </c>
      <c r="J9" s="50">
        <f>'Measure 2 project payments'!I53</f>
        <v>0</v>
      </c>
      <c r="K9" s="50">
        <f>'Measure 2 project payments'!J53</f>
        <v>0</v>
      </c>
    </row>
    <row r="10" spans="1:11" ht="14.4" x14ac:dyDescent="0.3">
      <c r="A10" s="97" t="str">
        <f>'pay out values'!B29</f>
        <v>Measure 3</v>
      </c>
      <c r="B10" s="19" t="s">
        <v>405</v>
      </c>
      <c r="C10" s="50">
        <f>'Measure 3 project payments'!B52</f>
        <v>0</v>
      </c>
      <c r="D10" s="50">
        <f>'Measure 3 project payments'!C52</f>
        <v>0</v>
      </c>
      <c r="E10" s="50">
        <f>'Measure 3 project payments'!D52</f>
        <v>0</v>
      </c>
      <c r="F10" s="50">
        <f>'Measure 3 project payments'!E52</f>
        <v>0</v>
      </c>
      <c r="G10" s="50">
        <f>'Measure 3 project payments'!F52</f>
        <v>0</v>
      </c>
      <c r="H10" s="50">
        <f>'Measure 3 project payments'!G52</f>
        <v>0</v>
      </c>
      <c r="I10" s="50">
        <f>'Measure 3 project payments'!H52</f>
        <v>0</v>
      </c>
      <c r="J10" s="50">
        <f>'Measure 3 project payments'!I52</f>
        <v>0</v>
      </c>
      <c r="K10" s="50">
        <f>'Measure 3 project payments'!J52</f>
        <v>0</v>
      </c>
    </row>
    <row r="11" spans="1:11" ht="14.4" x14ac:dyDescent="0.3">
      <c r="A11" s="97" t="str">
        <f>'pay out values'!B29</f>
        <v>Measure 3</v>
      </c>
      <c r="B11" s="19" t="s">
        <v>406</v>
      </c>
      <c r="C11" s="50">
        <f>'Measure 3 project payments'!B53</f>
        <v>0</v>
      </c>
      <c r="D11" s="50">
        <f>'Measure 3 project payments'!C53</f>
        <v>0</v>
      </c>
      <c r="E11" s="50">
        <f>'Measure 3 project payments'!D53</f>
        <v>0</v>
      </c>
      <c r="F11" s="50">
        <f>'Measure 3 project payments'!E53</f>
        <v>0</v>
      </c>
      <c r="G11" s="50">
        <f>'Measure 3 project payments'!F53</f>
        <v>0</v>
      </c>
      <c r="H11" s="50">
        <f>'Measure 3 project payments'!G53</f>
        <v>0</v>
      </c>
      <c r="I11" s="50">
        <f>'Measure 3 project payments'!H53</f>
        <v>0</v>
      </c>
      <c r="J11" s="50">
        <f>'Measure 3 project payments'!I53</f>
        <v>0</v>
      </c>
      <c r="K11" s="50">
        <f>'Measure 3 project payments'!J53</f>
        <v>0</v>
      </c>
    </row>
    <row r="12" spans="1:11" ht="14.4" x14ac:dyDescent="0.3">
      <c r="A12" s="97" t="str">
        <f>'pay out values'!B30</f>
        <v>Measure 4</v>
      </c>
      <c r="B12" s="19" t="s">
        <v>405</v>
      </c>
      <c r="C12" s="50">
        <f>'Measure 4 project payments'!B52</f>
        <v>0</v>
      </c>
      <c r="D12" s="50">
        <f>'Measure 4 project payments'!C52</f>
        <v>0</v>
      </c>
      <c r="E12" s="50">
        <f>'Measure 4 project payments'!D52</f>
        <v>0</v>
      </c>
      <c r="F12" s="50">
        <f>'Measure 4 project payments'!E52</f>
        <v>0</v>
      </c>
      <c r="G12" s="50">
        <f>'Measure 4 project payments'!F52</f>
        <v>0</v>
      </c>
      <c r="H12" s="50">
        <f>'Measure 4 project payments'!G52</f>
        <v>0</v>
      </c>
      <c r="I12" s="50">
        <f>'Measure 4 project payments'!H52</f>
        <v>0</v>
      </c>
      <c r="J12" s="50">
        <f>'Measure 4 project payments'!I52</f>
        <v>0</v>
      </c>
      <c r="K12" s="50">
        <f>'Measure 4 project payments'!J52</f>
        <v>0</v>
      </c>
    </row>
    <row r="13" spans="1:11" ht="14.4" x14ac:dyDescent="0.3">
      <c r="A13" s="97" t="str">
        <f>'pay out values'!B30</f>
        <v>Measure 4</v>
      </c>
      <c r="B13" s="19" t="s">
        <v>406</v>
      </c>
      <c r="C13" s="50">
        <f>'Measure 4 project payments'!B53</f>
        <v>0</v>
      </c>
      <c r="D13" s="50">
        <f>'Measure 4 project payments'!C53</f>
        <v>0</v>
      </c>
      <c r="E13" s="50">
        <f>'Measure 4 project payments'!D53</f>
        <v>0</v>
      </c>
      <c r="F13" s="50">
        <f>'Measure 4 project payments'!E53</f>
        <v>0</v>
      </c>
      <c r="G13" s="50">
        <f>'Measure 4 project payments'!F53</f>
        <v>0</v>
      </c>
      <c r="H13" s="50">
        <f>'Measure 4 project payments'!G53</f>
        <v>0</v>
      </c>
      <c r="I13" s="50">
        <f>'Measure 4 project payments'!H53</f>
        <v>0</v>
      </c>
      <c r="J13" s="50">
        <f>'Measure 4 project payments'!I53</f>
        <v>0</v>
      </c>
      <c r="K13" s="50">
        <f>'Measure 4 project payments'!J53</f>
        <v>0</v>
      </c>
    </row>
    <row r="14" spans="1:11" ht="14.4" x14ac:dyDescent="0.3">
      <c r="A14" s="97" t="str">
        <f>'pay out values'!B31</f>
        <v>Measure 5</v>
      </c>
      <c r="B14" s="19" t="s">
        <v>405</v>
      </c>
      <c r="C14" s="50">
        <f>'Measure 5 project payments'!B52</f>
        <v>0</v>
      </c>
      <c r="D14" s="50">
        <f>'Measure 5 project payments'!C52</f>
        <v>0</v>
      </c>
      <c r="E14" s="50">
        <f>'Measure 5 project payments'!D52</f>
        <v>0</v>
      </c>
      <c r="F14" s="50">
        <f>'Measure 5 project payments'!E52</f>
        <v>0</v>
      </c>
      <c r="G14" s="50">
        <f>'Measure 5 project payments'!F52</f>
        <v>0</v>
      </c>
      <c r="H14" s="50">
        <f>'Measure 5 project payments'!G52</f>
        <v>0</v>
      </c>
      <c r="I14" s="50">
        <f>'Measure 5 project payments'!H52</f>
        <v>0</v>
      </c>
      <c r="J14" s="50">
        <f>'Measure 5 project payments'!I52</f>
        <v>0</v>
      </c>
      <c r="K14" s="50">
        <f>'Measure 5 project payments'!J52</f>
        <v>0</v>
      </c>
    </row>
    <row r="15" spans="1:11" ht="14.4" x14ac:dyDescent="0.3">
      <c r="A15" s="97" t="str">
        <f>'pay out values'!B31</f>
        <v>Measure 5</v>
      </c>
      <c r="B15" s="19" t="s">
        <v>406</v>
      </c>
      <c r="C15" s="50">
        <f>'Measure 5 project payments'!B53</f>
        <v>0</v>
      </c>
      <c r="D15" s="50">
        <f>'Measure 5 project payments'!C53</f>
        <v>0</v>
      </c>
      <c r="E15" s="50">
        <f>'Measure 5 project payments'!D53</f>
        <v>0</v>
      </c>
      <c r="F15" s="50">
        <f>'Measure 5 project payments'!E53</f>
        <v>0</v>
      </c>
      <c r="G15" s="50">
        <f>'Measure 5 project payments'!F53</f>
        <v>0</v>
      </c>
      <c r="H15" s="50">
        <f>'Measure 5 project payments'!G53</f>
        <v>0</v>
      </c>
      <c r="I15" s="50">
        <f>'Measure 5 project payments'!H53</f>
        <v>0</v>
      </c>
      <c r="J15" s="50">
        <f>'Measure 5 project payments'!I53</f>
        <v>0</v>
      </c>
      <c r="K15" s="50">
        <f>'Measure 5 project payments'!J53</f>
        <v>0</v>
      </c>
    </row>
    <row r="16" spans="1:11" ht="14.4" x14ac:dyDescent="0.3">
      <c r="A16" s="97" t="str">
        <f>'pay out values'!B32</f>
        <v>Measure 6</v>
      </c>
      <c r="B16" s="19" t="s">
        <v>405</v>
      </c>
      <c r="C16" s="50">
        <f>'Measure 6 project payments'!B52</f>
        <v>0</v>
      </c>
      <c r="D16" s="50">
        <f>'Measure 6 project payments'!C52</f>
        <v>0</v>
      </c>
      <c r="E16" s="50">
        <f>'Measure 6 project payments'!D52</f>
        <v>0</v>
      </c>
      <c r="F16" s="50">
        <f>'Measure 6 project payments'!E52</f>
        <v>0</v>
      </c>
      <c r="G16" s="50">
        <f>'Measure 6 project payments'!F52</f>
        <v>0</v>
      </c>
      <c r="H16" s="50">
        <f>'Measure 6 project payments'!G52</f>
        <v>0</v>
      </c>
      <c r="I16" s="50">
        <f>'Measure 6 project payments'!H52</f>
        <v>0</v>
      </c>
      <c r="J16" s="50">
        <f>'Measure 6 project payments'!I52</f>
        <v>0</v>
      </c>
      <c r="K16" s="50">
        <f>'Measure 6 project payments'!J52</f>
        <v>0</v>
      </c>
    </row>
    <row r="17" spans="1:11" ht="14.4" x14ac:dyDescent="0.3">
      <c r="A17" s="97" t="str">
        <f>'pay out values'!B32</f>
        <v>Measure 6</v>
      </c>
      <c r="B17" s="19" t="s">
        <v>406</v>
      </c>
      <c r="C17" s="50">
        <f>'Measure 6 project payments'!B53</f>
        <v>0</v>
      </c>
      <c r="D17" s="50">
        <f>'Measure 6 project payments'!C53</f>
        <v>0</v>
      </c>
      <c r="E17" s="50">
        <f>'Measure 6 project payments'!D53</f>
        <v>0</v>
      </c>
      <c r="F17" s="50">
        <f>'Measure 6 project payments'!E53</f>
        <v>0</v>
      </c>
      <c r="G17" s="50">
        <f>'Measure 6 project payments'!F53</f>
        <v>0</v>
      </c>
      <c r="H17" s="50">
        <f>'Measure 6 project payments'!G53</f>
        <v>0</v>
      </c>
      <c r="I17" s="50">
        <f>'Measure 6 project payments'!H53</f>
        <v>0</v>
      </c>
      <c r="J17" s="50">
        <f>'Measure 6 project payments'!I53</f>
        <v>0</v>
      </c>
      <c r="K17" s="50">
        <f>'Measure 6 project payments'!J53</f>
        <v>0</v>
      </c>
    </row>
    <row r="18" spans="1:11" ht="14.4" x14ac:dyDescent="0.3">
      <c r="A18" s="97" t="str">
        <f>'pay out values'!B33</f>
        <v>Measure 7</v>
      </c>
      <c r="B18" s="19" t="s">
        <v>405</v>
      </c>
      <c r="C18" s="50">
        <f>'Measure 7 project payments'!B52</f>
        <v>0</v>
      </c>
      <c r="D18" s="50">
        <f>'Measure 7 project payments'!C52</f>
        <v>0</v>
      </c>
      <c r="E18" s="50">
        <f>'Measure 7 project payments'!D52</f>
        <v>0</v>
      </c>
      <c r="F18" s="50">
        <f>'Measure 7 project payments'!E52</f>
        <v>0</v>
      </c>
      <c r="G18" s="50">
        <f>'Measure 7 project payments'!F52</f>
        <v>0</v>
      </c>
      <c r="H18" s="50">
        <f>'Measure 7 project payments'!G52</f>
        <v>0</v>
      </c>
      <c r="I18" s="50">
        <f>'Measure 7 project payments'!H52</f>
        <v>0</v>
      </c>
      <c r="J18" s="50">
        <f>'Measure 7 project payments'!I52</f>
        <v>0</v>
      </c>
      <c r="K18" s="50">
        <f>'Measure 7 project payments'!J52</f>
        <v>0</v>
      </c>
    </row>
    <row r="19" spans="1:11" ht="14.4" x14ac:dyDescent="0.3">
      <c r="A19" s="97" t="str">
        <f>'pay out values'!B33</f>
        <v>Measure 7</v>
      </c>
      <c r="B19" s="19" t="s">
        <v>406</v>
      </c>
      <c r="C19" s="50">
        <f>'Measure 7 project payments'!B53</f>
        <v>0</v>
      </c>
      <c r="D19" s="50">
        <f>'Measure 7 project payments'!C53</f>
        <v>0</v>
      </c>
      <c r="E19" s="50">
        <f>'Measure 7 project payments'!D53</f>
        <v>0</v>
      </c>
      <c r="F19" s="50">
        <f>'Measure 7 project payments'!E53</f>
        <v>0</v>
      </c>
      <c r="G19" s="50">
        <f>'Measure 7 project payments'!F53</f>
        <v>0</v>
      </c>
      <c r="H19" s="50">
        <f>'Measure 7 project payments'!G53</f>
        <v>0</v>
      </c>
      <c r="I19" s="50">
        <f>'Measure 7 project payments'!H53</f>
        <v>0</v>
      </c>
      <c r="J19" s="50">
        <f>'Measure 7 project payments'!I53</f>
        <v>0</v>
      </c>
      <c r="K19" s="50">
        <f>'Measure 7 project payments'!J53</f>
        <v>0</v>
      </c>
    </row>
    <row r="20" spans="1:11" ht="14.4" x14ac:dyDescent="0.3">
      <c r="A20" s="97" t="str">
        <f>'pay out values'!B34</f>
        <v>Measure 8</v>
      </c>
      <c r="B20" s="19" t="s">
        <v>405</v>
      </c>
      <c r="C20" s="50">
        <f>'Measure 8 project payments'!B52</f>
        <v>0</v>
      </c>
      <c r="D20" s="50">
        <f>'Measure 8 project payments'!C52</f>
        <v>0</v>
      </c>
      <c r="E20" s="50">
        <f>'Measure 8 project payments'!D52</f>
        <v>0</v>
      </c>
      <c r="F20" s="50">
        <f>'Measure 8 project payments'!E52</f>
        <v>0</v>
      </c>
      <c r="G20" s="50">
        <f>'Measure 8 project payments'!F52</f>
        <v>0</v>
      </c>
      <c r="H20" s="50">
        <f>'Measure 8 project payments'!G52</f>
        <v>0</v>
      </c>
      <c r="I20" s="50">
        <f>'Measure 8 project payments'!H52</f>
        <v>0</v>
      </c>
      <c r="J20" s="50">
        <f>'Measure 8 project payments'!I52</f>
        <v>0</v>
      </c>
      <c r="K20" s="50">
        <f>'Measure 8 project payments'!J52</f>
        <v>0</v>
      </c>
    </row>
    <row r="21" spans="1:11" ht="14.4" x14ac:dyDescent="0.3">
      <c r="A21" s="97" t="str">
        <f>'pay out values'!B34</f>
        <v>Measure 8</v>
      </c>
      <c r="B21" s="19" t="s">
        <v>406</v>
      </c>
      <c r="C21" s="50">
        <f>'Measure 8 project payments'!B53</f>
        <v>0</v>
      </c>
      <c r="D21" s="50">
        <f>'Measure 8 project payments'!C53</f>
        <v>0</v>
      </c>
      <c r="E21" s="50">
        <f>'Measure 8 project payments'!D53</f>
        <v>0</v>
      </c>
      <c r="F21" s="50">
        <f>'Measure 8 project payments'!E53</f>
        <v>0</v>
      </c>
      <c r="G21" s="50">
        <f>'Measure 8 project payments'!F53</f>
        <v>0</v>
      </c>
      <c r="H21" s="50">
        <f>'Measure 8 project payments'!G53</f>
        <v>0</v>
      </c>
      <c r="I21" s="50">
        <f>'Measure 8 project payments'!H53</f>
        <v>0</v>
      </c>
      <c r="J21" s="50">
        <f>'Measure 8 project payments'!I53</f>
        <v>0</v>
      </c>
      <c r="K21" s="50">
        <f>'Measure 8 project payments'!J53</f>
        <v>0</v>
      </c>
    </row>
    <row r="22" spans="1:11" ht="14.4" x14ac:dyDescent="0.3">
      <c r="A22" s="97" t="str">
        <f>'pay out values'!B35</f>
        <v>Measure 9</v>
      </c>
      <c r="B22" s="19" t="s">
        <v>405</v>
      </c>
      <c r="C22" s="50">
        <f>'Measure 9 project payments'!B52</f>
        <v>0</v>
      </c>
      <c r="D22" s="50">
        <f>'Measure 9 project payments'!C52</f>
        <v>0</v>
      </c>
      <c r="E22" s="50">
        <f>'Measure 9 project payments'!D52</f>
        <v>0</v>
      </c>
      <c r="F22" s="50">
        <f>'Measure 9 project payments'!E52</f>
        <v>0</v>
      </c>
      <c r="G22" s="50">
        <f>'Measure 9 project payments'!F52</f>
        <v>0</v>
      </c>
      <c r="H22" s="50">
        <f>'Measure 9 project payments'!G52</f>
        <v>0</v>
      </c>
      <c r="I22" s="50">
        <f>'Measure 9 project payments'!H52</f>
        <v>0</v>
      </c>
      <c r="J22" s="50">
        <f>'Measure 9 project payments'!I52</f>
        <v>0</v>
      </c>
      <c r="K22" s="50">
        <f>'Measure 9 project payments'!J52</f>
        <v>0</v>
      </c>
    </row>
    <row r="23" spans="1:11" ht="14.4" x14ac:dyDescent="0.3">
      <c r="A23" s="97" t="str">
        <f>'pay out values'!B35</f>
        <v>Measure 9</v>
      </c>
      <c r="B23" s="19" t="s">
        <v>406</v>
      </c>
      <c r="C23" s="50">
        <f>'Measure 9 project payments'!B53</f>
        <v>0</v>
      </c>
      <c r="D23" s="50">
        <f>'Measure 9 project payments'!C53</f>
        <v>0</v>
      </c>
      <c r="E23" s="50">
        <f>'Measure 9 project payments'!D53</f>
        <v>0</v>
      </c>
      <c r="F23" s="50">
        <f>'Measure 9 project payments'!E53</f>
        <v>0</v>
      </c>
      <c r="G23" s="50">
        <f>'Measure 9 project payments'!F53</f>
        <v>0</v>
      </c>
      <c r="H23" s="50">
        <f>'Measure 9 project payments'!G53</f>
        <v>0</v>
      </c>
      <c r="I23" s="50">
        <f>'Measure 9 project payments'!H53</f>
        <v>0</v>
      </c>
      <c r="J23" s="50">
        <f>'Measure 9 project payments'!I53</f>
        <v>0</v>
      </c>
      <c r="K23" s="50">
        <f>'Measure 9 project payments'!J53</f>
        <v>0</v>
      </c>
    </row>
    <row r="24" spans="1:11" ht="14.4" x14ac:dyDescent="0.3">
      <c r="A24" s="97" t="str">
        <f>'pay out values'!B36</f>
        <v>Measure 10</v>
      </c>
      <c r="B24" s="19" t="s">
        <v>405</v>
      </c>
      <c r="C24" s="50">
        <f>'Measure 10 project payments'!B52</f>
        <v>0</v>
      </c>
      <c r="D24" s="50">
        <f>'Measure 10 project payments'!C52</f>
        <v>0</v>
      </c>
      <c r="E24" s="50">
        <f>'Measure 10 project payments'!D52</f>
        <v>0</v>
      </c>
      <c r="F24" s="50">
        <f>'Measure 10 project payments'!E52</f>
        <v>0</v>
      </c>
      <c r="G24" s="50">
        <f>'Measure 10 project payments'!F52</f>
        <v>0</v>
      </c>
      <c r="H24" s="50">
        <f>'Measure 10 project payments'!G52</f>
        <v>0</v>
      </c>
      <c r="I24" s="50">
        <f>'Measure 10 project payments'!H52</f>
        <v>0</v>
      </c>
      <c r="J24" s="50">
        <f>'Measure 10 project payments'!I52</f>
        <v>0</v>
      </c>
      <c r="K24" s="50">
        <f>'Measure 10 project payments'!J52</f>
        <v>0</v>
      </c>
    </row>
    <row r="25" spans="1:11" ht="14.4" x14ac:dyDescent="0.3">
      <c r="A25" s="97" t="str">
        <f>'pay out values'!B36</f>
        <v>Measure 10</v>
      </c>
      <c r="B25" s="19" t="s">
        <v>406</v>
      </c>
      <c r="C25" s="50">
        <f>'Measure 10 project payments'!B53</f>
        <v>0</v>
      </c>
      <c r="D25" s="50">
        <f>'Measure 10 project payments'!C53</f>
        <v>0</v>
      </c>
      <c r="E25" s="50">
        <f>'Measure 10 project payments'!D53</f>
        <v>0</v>
      </c>
      <c r="F25" s="50">
        <f>'Measure 10 project payments'!E53</f>
        <v>0</v>
      </c>
      <c r="G25" s="50">
        <f>'Measure 10 project payments'!F53</f>
        <v>0</v>
      </c>
      <c r="H25" s="50">
        <f>'Measure 10 project payments'!G53</f>
        <v>0</v>
      </c>
      <c r="I25" s="50">
        <f>'Measure 10 project payments'!H53</f>
        <v>0</v>
      </c>
      <c r="J25" s="50">
        <f>'Measure 10 project payments'!I53</f>
        <v>0</v>
      </c>
      <c r="K25" s="50">
        <f>'Measure 10 project payments'!J53</f>
        <v>0</v>
      </c>
    </row>
    <row r="26" spans="1:11" ht="14.4" x14ac:dyDescent="0.3">
      <c r="A26" s="19" t="s">
        <v>319</v>
      </c>
      <c r="B26" s="19" t="s">
        <v>405</v>
      </c>
      <c r="C26" s="64">
        <f t="shared" ref="C26:K26" si="0">C6+C8+C10+C12+C14+C16+C18+C20+C22+C24</f>
        <v>0</v>
      </c>
      <c r="D26" s="64">
        <f t="shared" si="0"/>
        <v>0</v>
      </c>
      <c r="E26" s="64">
        <f t="shared" si="0"/>
        <v>0</v>
      </c>
      <c r="F26" s="64">
        <f t="shared" si="0"/>
        <v>0</v>
      </c>
      <c r="G26" s="64">
        <f t="shared" si="0"/>
        <v>0</v>
      </c>
      <c r="H26" s="64">
        <f t="shared" si="0"/>
        <v>0</v>
      </c>
      <c r="I26" s="64">
        <f t="shared" si="0"/>
        <v>0</v>
      </c>
      <c r="J26" s="64">
        <f t="shared" si="0"/>
        <v>0</v>
      </c>
      <c r="K26" s="64">
        <f t="shared" si="0"/>
        <v>0</v>
      </c>
    </row>
    <row r="27" spans="1:11" ht="14.4" x14ac:dyDescent="0.3">
      <c r="A27" s="19" t="s">
        <v>319</v>
      </c>
      <c r="B27" s="19" t="s">
        <v>406</v>
      </c>
      <c r="C27" s="64">
        <f t="shared" ref="C27:K27" si="1">C7+C9+C11+C13+C15+C17+C19+C21+C23+C25</f>
        <v>0</v>
      </c>
      <c r="D27" s="64">
        <f t="shared" si="1"/>
        <v>0</v>
      </c>
      <c r="E27" s="64">
        <f t="shared" si="1"/>
        <v>0</v>
      </c>
      <c r="F27" s="64">
        <f t="shared" si="1"/>
        <v>0</v>
      </c>
      <c r="G27" s="64">
        <f t="shared" si="1"/>
        <v>0</v>
      </c>
      <c r="H27" s="64">
        <f t="shared" si="1"/>
        <v>0</v>
      </c>
      <c r="I27" s="64">
        <f t="shared" si="1"/>
        <v>0</v>
      </c>
      <c r="J27" s="64">
        <f t="shared" si="1"/>
        <v>0</v>
      </c>
      <c r="K27" s="64">
        <f t="shared" si="1"/>
        <v>0</v>
      </c>
    </row>
    <row r="31" spans="1:11" x14ac:dyDescent="0.3">
      <c r="B31" s="19" t="s">
        <v>405</v>
      </c>
      <c r="C31" s="70">
        <v>2028</v>
      </c>
      <c r="D31" s="70">
        <v>2029</v>
      </c>
      <c r="E31" s="70">
        <v>2030</v>
      </c>
      <c r="F31" s="70">
        <v>2031</v>
      </c>
      <c r="G31" s="70">
        <v>2032</v>
      </c>
      <c r="H31" s="70">
        <v>2033</v>
      </c>
      <c r="I31" s="70">
        <v>2034</v>
      </c>
      <c r="J31" s="70">
        <v>2035</v>
      </c>
      <c r="K31" s="70" t="s">
        <v>362</v>
      </c>
    </row>
    <row r="32" spans="1:11" x14ac:dyDescent="0.3">
      <c r="B32" s="97" t="str">
        <f>'pay out values'!B27</f>
        <v>Measure 1</v>
      </c>
      <c r="C32" s="3">
        <f t="shared" ref="C32:K32" si="2">C6</f>
        <v>0</v>
      </c>
      <c r="D32" s="3">
        <f t="shared" si="2"/>
        <v>0</v>
      </c>
      <c r="E32" s="3">
        <f t="shared" si="2"/>
        <v>0</v>
      </c>
      <c r="F32" s="3">
        <f t="shared" si="2"/>
        <v>0</v>
      </c>
      <c r="G32" s="3">
        <f t="shared" si="2"/>
        <v>0</v>
      </c>
      <c r="H32" s="3">
        <f t="shared" si="2"/>
        <v>0</v>
      </c>
      <c r="I32" s="3">
        <f t="shared" si="2"/>
        <v>0</v>
      </c>
      <c r="J32" s="3">
        <f t="shared" si="2"/>
        <v>0</v>
      </c>
      <c r="K32" s="3">
        <f t="shared" si="2"/>
        <v>0</v>
      </c>
    </row>
    <row r="33" spans="2:11" x14ac:dyDescent="0.3">
      <c r="B33" s="97" t="str">
        <f>'pay out values'!B28</f>
        <v>Measure 2</v>
      </c>
      <c r="C33" s="3">
        <f t="shared" ref="C33:K33" si="3">C8</f>
        <v>0</v>
      </c>
      <c r="D33" s="3">
        <f t="shared" si="3"/>
        <v>0</v>
      </c>
      <c r="E33" s="3">
        <f t="shared" si="3"/>
        <v>0</v>
      </c>
      <c r="F33" s="3">
        <f t="shared" si="3"/>
        <v>0</v>
      </c>
      <c r="G33" s="3">
        <f t="shared" si="3"/>
        <v>0</v>
      </c>
      <c r="H33" s="3">
        <f t="shared" si="3"/>
        <v>0</v>
      </c>
      <c r="I33" s="3">
        <f t="shared" si="3"/>
        <v>0</v>
      </c>
      <c r="J33" s="3">
        <f t="shared" si="3"/>
        <v>0</v>
      </c>
      <c r="K33" s="3">
        <f t="shared" si="3"/>
        <v>0</v>
      </c>
    </row>
    <row r="34" spans="2:11" x14ac:dyDescent="0.3">
      <c r="B34" s="97" t="str">
        <f>'pay out values'!B29</f>
        <v>Measure 3</v>
      </c>
      <c r="C34" s="3">
        <f t="shared" ref="C34:K34" si="4">C10</f>
        <v>0</v>
      </c>
      <c r="D34" s="3">
        <f t="shared" si="4"/>
        <v>0</v>
      </c>
      <c r="E34" s="3">
        <f t="shared" si="4"/>
        <v>0</v>
      </c>
      <c r="F34" s="3">
        <f t="shared" si="4"/>
        <v>0</v>
      </c>
      <c r="G34" s="3">
        <f t="shared" si="4"/>
        <v>0</v>
      </c>
      <c r="H34" s="3">
        <f t="shared" si="4"/>
        <v>0</v>
      </c>
      <c r="I34" s="3">
        <f t="shared" si="4"/>
        <v>0</v>
      </c>
      <c r="J34" s="3">
        <f t="shared" si="4"/>
        <v>0</v>
      </c>
      <c r="K34" s="3">
        <f t="shared" si="4"/>
        <v>0</v>
      </c>
    </row>
    <row r="35" spans="2:11" x14ac:dyDescent="0.3">
      <c r="B35" s="97" t="str">
        <f>'pay out values'!B30</f>
        <v>Measure 4</v>
      </c>
      <c r="C35" s="3">
        <f t="shared" ref="C35:K35" si="5">C12</f>
        <v>0</v>
      </c>
      <c r="D35" s="3">
        <f t="shared" si="5"/>
        <v>0</v>
      </c>
      <c r="E35" s="3">
        <f t="shared" si="5"/>
        <v>0</v>
      </c>
      <c r="F35" s="3">
        <f t="shared" si="5"/>
        <v>0</v>
      </c>
      <c r="G35" s="3">
        <f t="shared" si="5"/>
        <v>0</v>
      </c>
      <c r="H35" s="3">
        <f t="shared" si="5"/>
        <v>0</v>
      </c>
      <c r="I35" s="3">
        <f t="shared" si="5"/>
        <v>0</v>
      </c>
      <c r="J35" s="3">
        <f t="shared" si="5"/>
        <v>0</v>
      </c>
      <c r="K35" s="3">
        <f t="shared" si="5"/>
        <v>0</v>
      </c>
    </row>
    <row r="36" spans="2:11" x14ac:dyDescent="0.3">
      <c r="B36" s="97" t="str">
        <f>'pay out values'!B31</f>
        <v>Measure 5</v>
      </c>
      <c r="C36" s="3">
        <f t="shared" ref="C36:K36" si="6">C14</f>
        <v>0</v>
      </c>
      <c r="D36" s="3">
        <f t="shared" si="6"/>
        <v>0</v>
      </c>
      <c r="E36" s="3">
        <f t="shared" si="6"/>
        <v>0</v>
      </c>
      <c r="F36" s="3">
        <f t="shared" si="6"/>
        <v>0</v>
      </c>
      <c r="G36" s="3">
        <f t="shared" si="6"/>
        <v>0</v>
      </c>
      <c r="H36" s="3">
        <f t="shared" si="6"/>
        <v>0</v>
      </c>
      <c r="I36" s="3">
        <f t="shared" si="6"/>
        <v>0</v>
      </c>
      <c r="J36" s="3">
        <f t="shared" si="6"/>
        <v>0</v>
      </c>
      <c r="K36" s="3">
        <f t="shared" si="6"/>
        <v>0</v>
      </c>
    </row>
    <row r="37" spans="2:11" x14ac:dyDescent="0.3">
      <c r="B37" s="97" t="str">
        <f>'pay out values'!B32</f>
        <v>Measure 6</v>
      </c>
      <c r="C37" s="3">
        <f t="shared" ref="C37:K37" si="7">C16</f>
        <v>0</v>
      </c>
      <c r="D37" s="3">
        <f t="shared" si="7"/>
        <v>0</v>
      </c>
      <c r="E37" s="3">
        <f t="shared" si="7"/>
        <v>0</v>
      </c>
      <c r="F37" s="3">
        <f t="shared" si="7"/>
        <v>0</v>
      </c>
      <c r="G37" s="3">
        <f t="shared" si="7"/>
        <v>0</v>
      </c>
      <c r="H37" s="3">
        <f t="shared" si="7"/>
        <v>0</v>
      </c>
      <c r="I37" s="3">
        <f t="shared" si="7"/>
        <v>0</v>
      </c>
      <c r="J37" s="3">
        <f t="shared" si="7"/>
        <v>0</v>
      </c>
      <c r="K37" s="3">
        <f t="shared" si="7"/>
        <v>0</v>
      </c>
    </row>
    <row r="38" spans="2:11" x14ac:dyDescent="0.3">
      <c r="B38" s="97" t="str">
        <f>'pay out values'!B33</f>
        <v>Measure 7</v>
      </c>
      <c r="C38" s="3">
        <f t="shared" ref="C38:K38" si="8">C18</f>
        <v>0</v>
      </c>
      <c r="D38" s="3">
        <f t="shared" si="8"/>
        <v>0</v>
      </c>
      <c r="E38" s="3">
        <f t="shared" si="8"/>
        <v>0</v>
      </c>
      <c r="F38" s="3">
        <f t="shared" si="8"/>
        <v>0</v>
      </c>
      <c r="G38" s="3">
        <f t="shared" si="8"/>
        <v>0</v>
      </c>
      <c r="H38" s="3">
        <f t="shared" si="8"/>
        <v>0</v>
      </c>
      <c r="I38" s="3">
        <f t="shared" si="8"/>
        <v>0</v>
      </c>
      <c r="J38" s="3">
        <f t="shared" si="8"/>
        <v>0</v>
      </c>
      <c r="K38" s="3">
        <f t="shared" si="8"/>
        <v>0</v>
      </c>
    </row>
    <row r="39" spans="2:11" x14ac:dyDescent="0.3">
      <c r="B39" s="97" t="str">
        <f>'pay out values'!B34</f>
        <v>Measure 8</v>
      </c>
      <c r="C39" s="3">
        <f t="shared" ref="C39:K39" si="9">C20</f>
        <v>0</v>
      </c>
      <c r="D39" s="3">
        <f t="shared" si="9"/>
        <v>0</v>
      </c>
      <c r="E39" s="3">
        <f t="shared" si="9"/>
        <v>0</v>
      </c>
      <c r="F39" s="3">
        <f t="shared" si="9"/>
        <v>0</v>
      </c>
      <c r="G39" s="3">
        <f t="shared" si="9"/>
        <v>0</v>
      </c>
      <c r="H39" s="3">
        <f t="shared" si="9"/>
        <v>0</v>
      </c>
      <c r="I39" s="3">
        <f t="shared" si="9"/>
        <v>0</v>
      </c>
      <c r="J39" s="3">
        <f t="shared" si="9"/>
        <v>0</v>
      </c>
      <c r="K39" s="3">
        <f t="shared" si="9"/>
        <v>0</v>
      </c>
    </row>
    <row r="40" spans="2:11" x14ac:dyDescent="0.3">
      <c r="B40" s="97" t="str">
        <f>'pay out values'!B35</f>
        <v>Measure 9</v>
      </c>
      <c r="C40" s="3">
        <f t="shared" ref="C40:K40" si="10">C22</f>
        <v>0</v>
      </c>
      <c r="D40" s="3">
        <f t="shared" si="10"/>
        <v>0</v>
      </c>
      <c r="E40" s="3">
        <f t="shared" si="10"/>
        <v>0</v>
      </c>
      <c r="F40" s="3">
        <f t="shared" si="10"/>
        <v>0</v>
      </c>
      <c r="G40" s="3">
        <f t="shared" si="10"/>
        <v>0</v>
      </c>
      <c r="H40" s="3">
        <f t="shared" si="10"/>
        <v>0</v>
      </c>
      <c r="I40" s="3">
        <f t="shared" si="10"/>
        <v>0</v>
      </c>
      <c r="J40" s="3">
        <f t="shared" si="10"/>
        <v>0</v>
      </c>
      <c r="K40" s="3">
        <f t="shared" si="10"/>
        <v>0</v>
      </c>
    </row>
    <row r="41" spans="2:11" x14ac:dyDescent="0.3">
      <c r="B41" s="97" t="str">
        <f>'pay out values'!B36</f>
        <v>Measure 10</v>
      </c>
      <c r="C41" s="3">
        <f t="shared" ref="C41:K41" si="11">C24</f>
        <v>0</v>
      </c>
      <c r="D41" s="3">
        <f t="shared" si="11"/>
        <v>0</v>
      </c>
      <c r="E41" s="3">
        <f t="shared" si="11"/>
        <v>0</v>
      </c>
      <c r="F41" s="3">
        <f t="shared" si="11"/>
        <v>0</v>
      </c>
      <c r="G41" s="3">
        <f t="shared" si="11"/>
        <v>0</v>
      </c>
      <c r="H41" s="3">
        <f t="shared" si="11"/>
        <v>0</v>
      </c>
      <c r="I41" s="3">
        <f t="shared" si="11"/>
        <v>0</v>
      </c>
      <c r="J41" s="3">
        <f t="shared" si="11"/>
        <v>0</v>
      </c>
      <c r="K41" s="3">
        <f t="shared" si="11"/>
        <v>0</v>
      </c>
    </row>
    <row r="44" spans="2:11" x14ac:dyDescent="0.3">
      <c r="B44" s="19" t="s">
        <v>406</v>
      </c>
      <c r="C44" s="70">
        <v>2028</v>
      </c>
      <c r="D44" s="70">
        <v>2029</v>
      </c>
      <c r="E44" s="70">
        <v>2030</v>
      </c>
      <c r="F44" s="70">
        <v>2031</v>
      </c>
      <c r="G44" s="70">
        <v>2032</v>
      </c>
      <c r="H44" s="70">
        <v>2033</v>
      </c>
      <c r="I44" s="70">
        <v>2034</v>
      </c>
      <c r="J44" s="70">
        <v>2035</v>
      </c>
      <c r="K44" s="70" t="s">
        <v>362</v>
      </c>
    </row>
    <row r="45" spans="2:11" x14ac:dyDescent="0.3">
      <c r="B45" s="97" t="s">
        <v>259</v>
      </c>
      <c r="C45" s="3">
        <f t="shared" ref="C45:K45" si="12">C7</f>
        <v>0</v>
      </c>
      <c r="D45" s="3">
        <f t="shared" si="12"/>
        <v>0</v>
      </c>
      <c r="E45" s="3">
        <f t="shared" si="12"/>
        <v>0</v>
      </c>
      <c r="F45" s="3">
        <f t="shared" si="12"/>
        <v>0</v>
      </c>
      <c r="G45" s="3">
        <f t="shared" si="12"/>
        <v>0</v>
      </c>
      <c r="H45" s="3">
        <f t="shared" si="12"/>
        <v>0</v>
      </c>
      <c r="I45" s="3">
        <f t="shared" si="12"/>
        <v>0</v>
      </c>
      <c r="J45" s="3">
        <f t="shared" si="12"/>
        <v>0</v>
      </c>
      <c r="K45" s="3">
        <f t="shared" si="12"/>
        <v>0</v>
      </c>
    </row>
    <row r="46" spans="2:11" x14ac:dyDescent="0.3">
      <c r="B46" s="97" t="s">
        <v>261</v>
      </c>
      <c r="C46" s="3">
        <f t="shared" ref="C46:K46" si="13">C9</f>
        <v>0</v>
      </c>
      <c r="D46" s="3">
        <f t="shared" si="13"/>
        <v>0</v>
      </c>
      <c r="E46" s="3">
        <f t="shared" si="13"/>
        <v>0</v>
      </c>
      <c r="F46" s="3">
        <f t="shared" si="13"/>
        <v>0</v>
      </c>
      <c r="G46" s="3">
        <f t="shared" si="13"/>
        <v>0</v>
      </c>
      <c r="H46" s="3">
        <f t="shared" si="13"/>
        <v>0</v>
      </c>
      <c r="I46" s="3">
        <f t="shared" si="13"/>
        <v>0</v>
      </c>
      <c r="J46" s="3">
        <f t="shared" si="13"/>
        <v>0</v>
      </c>
      <c r="K46" s="3">
        <f t="shared" si="13"/>
        <v>0</v>
      </c>
    </row>
    <row r="47" spans="2:11" x14ac:dyDescent="0.3">
      <c r="B47" s="97" t="s">
        <v>263</v>
      </c>
      <c r="C47" s="3">
        <f t="shared" ref="C47:K47" si="14">C11</f>
        <v>0</v>
      </c>
      <c r="D47" s="3">
        <f t="shared" si="14"/>
        <v>0</v>
      </c>
      <c r="E47" s="3">
        <f t="shared" si="14"/>
        <v>0</v>
      </c>
      <c r="F47" s="3">
        <f t="shared" si="14"/>
        <v>0</v>
      </c>
      <c r="G47" s="3">
        <f t="shared" si="14"/>
        <v>0</v>
      </c>
      <c r="H47" s="3">
        <f t="shared" si="14"/>
        <v>0</v>
      </c>
      <c r="I47" s="3">
        <f t="shared" si="14"/>
        <v>0</v>
      </c>
      <c r="J47" s="3">
        <f t="shared" si="14"/>
        <v>0</v>
      </c>
      <c r="K47" s="3">
        <f t="shared" si="14"/>
        <v>0</v>
      </c>
    </row>
    <row r="48" spans="2:11" x14ac:dyDescent="0.3">
      <c r="B48" s="97" t="s">
        <v>265</v>
      </c>
      <c r="C48" s="3">
        <f t="shared" ref="C48:K48" si="15">C13</f>
        <v>0</v>
      </c>
      <c r="D48" s="3">
        <f t="shared" si="15"/>
        <v>0</v>
      </c>
      <c r="E48" s="3">
        <f t="shared" si="15"/>
        <v>0</v>
      </c>
      <c r="F48" s="3">
        <f t="shared" si="15"/>
        <v>0</v>
      </c>
      <c r="G48" s="3">
        <f t="shared" si="15"/>
        <v>0</v>
      </c>
      <c r="H48" s="3">
        <f t="shared" si="15"/>
        <v>0</v>
      </c>
      <c r="I48" s="3">
        <f t="shared" si="15"/>
        <v>0</v>
      </c>
      <c r="J48" s="3">
        <f t="shared" si="15"/>
        <v>0</v>
      </c>
      <c r="K48" s="3">
        <f t="shared" si="15"/>
        <v>0</v>
      </c>
    </row>
    <row r="49" spans="2:11" x14ac:dyDescent="0.3">
      <c r="B49" s="97" t="s">
        <v>267</v>
      </c>
      <c r="C49" s="3">
        <f t="shared" ref="C49:K49" si="16">C15</f>
        <v>0</v>
      </c>
      <c r="D49" s="3">
        <f t="shared" si="16"/>
        <v>0</v>
      </c>
      <c r="E49" s="3">
        <f t="shared" si="16"/>
        <v>0</v>
      </c>
      <c r="F49" s="3">
        <f t="shared" si="16"/>
        <v>0</v>
      </c>
      <c r="G49" s="3">
        <f t="shared" si="16"/>
        <v>0</v>
      </c>
      <c r="H49" s="3">
        <f t="shared" si="16"/>
        <v>0</v>
      </c>
      <c r="I49" s="3">
        <f t="shared" si="16"/>
        <v>0</v>
      </c>
      <c r="J49" s="3">
        <f t="shared" si="16"/>
        <v>0</v>
      </c>
      <c r="K49" s="3">
        <f t="shared" si="16"/>
        <v>0</v>
      </c>
    </row>
    <row r="50" spans="2:11" x14ac:dyDescent="0.3">
      <c r="B50" s="97" t="s">
        <v>269</v>
      </c>
      <c r="C50" s="3">
        <f t="shared" ref="C50:K50" si="17">C17</f>
        <v>0</v>
      </c>
      <c r="D50" s="3">
        <f t="shared" si="17"/>
        <v>0</v>
      </c>
      <c r="E50" s="3">
        <f t="shared" si="17"/>
        <v>0</v>
      </c>
      <c r="F50" s="3">
        <f t="shared" si="17"/>
        <v>0</v>
      </c>
      <c r="G50" s="3">
        <f t="shared" si="17"/>
        <v>0</v>
      </c>
      <c r="H50" s="3">
        <f t="shared" si="17"/>
        <v>0</v>
      </c>
      <c r="I50" s="3">
        <f t="shared" si="17"/>
        <v>0</v>
      </c>
      <c r="J50" s="3">
        <f t="shared" si="17"/>
        <v>0</v>
      </c>
      <c r="K50" s="3">
        <f t="shared" si="17"/>
        <v>0</v>
      </c>
    </row>
    <row r="51" spans="2:11" x14ac:dyDescent="0.3">
      <c r="B51" s="97" t="s">
        <v>271</v>
      </c>
      <c r="C51" s="3">
        <f t="shared" ref="C51:K51" si="18">C19</f>
        <v>0</v>
      </c>
      <c r="D51" s="3">
        <f t="shared" si="18"/>
        <v>0</v>
      </c>
      <c r="E51" s="3">
        <f t="shared" si="18"/>
        <v>0</v>
      </c>
      <c r="F51" s="3">
        <f t="shared" si="18"/>
        <v>0</v>
      </c>
      <c r="G51" s="3">
        <f t="shared" si="18"/>
        <v>0</v>
      </c>
      <c r="H51" s="3">
        <f t="shared" si="18"/>
        <v>0</v>
      </c>
      <c r="I51" s="3">
        <f t="shared" si="18"/>
        <v>0</v>
      </c>
      <c r="J51" s="3">
        <f t="shared" si="18"/>
        <v>0</v>
      </c>
      <c r="K51" s="3">
        <f t="shared" si="18"/>
        <v>0</v>
      </c>
    </row>
    <row r="52" spans="2:11" x14ac:dyDescent="0.3">
      <c r="B52" s="97" t="s">
        <v>273</v>
      </c>
      <c r="C52" s="3">
        <f t="shared" ref="C52:K52" si="19">C21</f>
        <v>0</v>
      </c>
      <c r="D52" s="3">
        <f t="shared" si="19"/>
        <v>0</v>
      </c>
      <c r="E52" s="3">
        <f t="shared" si="19"/>
        <v>0</v>
      </c>
      <c r="F52" s="3">
        <f t="shared" si="19"/>
        <v>0</v>
      </c>
      <c r="G52" s="3">
        <f t="shared" si="19"/>
        <v>0</v>
      </c>
      <c r="H52" s="3">
        <f t="shared" si="19"/>
        <v>0</v>
      </c>
      <c r="I52" s="3">
        <f t="shared" si="19"/>
        <v>0</v>
      </c>
      <c r="J52" s="3">
        <f t="shared" si="19"/>
        <v>0</v>
      </c>
      <c r="K52" s="3">
        <f t="shared" si="19"/>
        <v>0</v>
      </c>
    </row>
    <row r="53" spans="2:11" x14ac:dyDescent="0.3">
      <c r="B53" s="97" t="s">
        <v>275</v>
      </c>
      <c r="C53" s="3">
        <f t="shared" ref="C53:K53" si="20">C23</f>
        <v>0</v>
      </c>
      <c r="D53" s="3">
        <f t="shared" si="20"/>
        <v>0</v>
      </c>
      <c r="E53" s="3">
        <f t="shared" si="20"/>
        <v>0</v>
      </c>
      <c r="F53" s="3">
        <f t="shared" si="20"/>
        <v>0</v>
      </c>
      <c r="G53" s="3">
        <f t="shared" si="20"/>
        <v>0</v>
      </c>
      <c r="H53" s="3">
        <f t="shared" si="20"/>
        <v>0</v>
      </c>
      <c r="I53" s="3">
        <f t="shared" si="20"/>
        <v>0</v>
      </c>
      <c r="J53" s="3">
        <f t="shared" si="20"/>
        <v>0</v>
      </c>
      <c r="K53" s="3">
        <f t="shared" si="20"/>
        <v>0</v>
      </c>
    </row>
    <row r="54" spans="2:11" x14ac:dyDescent="0.3">
      <c r="B54" s="97" t="s">
        <v>277</v>
      </c>
      <c r="C54" s="3">
        <f t="shared" ref="C54:K54" si="21">C25</f>
        <v>0</v>
      </c>
      <c r="D54" s="3">
        <f t="shared" si="21"/>
        <v>0</v>
      </c>
      <c r="E54" s="3">
        <f t="shared" si="21"/>
        <v>0</v>
      </c>
      <c r="F54" s="3">
        <f t="shared" si="21"/>
        <v>0</v>
      </c>
      <c r="G54" s="3">
        <f t="shared" si="21"/>
        <v>0</v>
      </c>
      <c r="H54" s="3">
        <f t="shared" si="21"/>
        <v>0</v>
      </c>
      <c r="I54" s="3">
        <f t="shared" si="21"/>
        <v>0</v>
      </c>
      <c r="J54" s="3">
        <f t="shared" si="21"/>
        <v>0</v>
      </c>
      <c r="K54" s="3">
        <f t="shared" si="21"/>
        <v>0</v>
      </c>
    </row>
  </sheetData>
  <mergeCells count="2">
    <mergeCell ref="A1:K1"/>
    <mergeCell ref="A2:K2"/>
  </mergeCells>
  <phoneticPr fontId="4" type="noConversion"/>
  <conditionalFormatting sqref="A1:K54">
    <cfRule type="expression" dxfId="30" priority="100">
      <formula>ISERROR(A1)</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91E64-C207-40F3-A547-2243A84DC0F1}">
  <dimension ref="A1:Y67"/>
  <sheetViews>
    <sheetView topLeftCell="I14" zoomScaleNormal="100" workbookViewId="0">
      <selection activeCell="N61" sqref="N61"/>
    </sheetView>
  </sheetViews>
  <sheetFormatPr defaultRowHeight="15.05" x14ac:dyDescent="0.3"/>
  <cols>
    <col min="1" max="1" width="44" customWidth="1"/>
    <col min="2" max="2" width="14.5546875" customWidth="1"/>
    <col min="3" max="3" width="13.5546875" customWidth="1"/>
    <col min="4" max="4" width="13.109375" customWidth="1"/>
    <col min="5" max="5" width="12.6640625" bestFit="1" customWidth="1"/>
    <col min="6" max="6" width="14" customWidth="1"/>
    <col min="7" max="7" width="15.109375" customWidth="1"/>
    <col min="8" max="8" width="13.88671875" bestFit="1" customWidth="1"/>
    <col min="9" max="9" width="14.44140625" customWidth="1"/>
    <col min="10" max="10" width="14.88671875" customWidth="1"/>
    <col min="11" max="11" width="14.109375" customWidth="1"/>
    <col min="15" max="15" width="19.5546875" bestFit="1" customWidth="1"/>
    <col min="25" max="25" width="10.109375" bestFit="1" customWidth="1"/>
    <col min="26" max="26" width="13.5546875" bestFit="1" customWidth="1"/>
    <col min="27" max="27" width="10.109375" bestFit="1" customWidth="1"/>
  </cols>
  <sheetData>
    <row r="1" spans="1:14" ht="18" x14ac:dyDescent="0.3">
      <c r="A1" s="157" t="s">
        <v>403</v>
      </c>
      <c r="B1" s="157"/>
      <c r="C1" s="157"/>
      <c r="D1" s="157"/>
      <c r="E1" s="157"/>
      <c r="F1" s="157"/>
      <c r="G1" s="157"/>
      <c r="H1" s="157"/>
      <c r="I1" s="157"/>
      <c r="J1" s="157"/>
      <c r="K1" s="157"/>
    </row>
    <row r="2" spans="1:14" ht="18" x14ac:dyDescent="0.3">
      <c r="A2" s="157" t="s">
        <v>407</v>
      </c>
      <c r="B2" s="157"/>
      <c r="C2" s="157"/>
      <c r="D2" s="157"/>
      <c r="E2" s="157"/>
      <c r="F2" s="157"/>
      <c r="G2" s="157"/>
      <c r="H2" s="157"/>
      <c r="I2" s="157"/>
      <c r="J2" s="157"/>
      <c r="K2" s="157"/>
    </row>
    <row r="3" spans="1:14" ht="14.4" x14ac:dyDescent="0.3">
      <c r="A3" s="5"/>
    </row>
    <row r="4" spans="1:14" ht="14.4" x14ac:dyDescent="0.3">
      <c r="B4" s="6" t="s">
        <v>408</v>
      </c>
      <c r="C4" s="6" t="s">
        <v>297</v>
      </c>
    </row>
    <row r="5" spans="1:14" ht="14.4" x14ac:dyDescent="0.3">
      <c r="A5" s="6" t="str">
        <f>'pay out values'!B27</f>
        <v>Measure 1</v>
      </c>
      <c r="B5" s="50">
        <f>'pay out values'!D27</f>
        <v>0</v>
      </c>
      <c r="C5" s="102">
        <f>'pay out values'!C27</f>
        <v>0</v>
      </c>
      <c r="K5" s="3"/>
    </row>
    <row r="6" spans="1:14" ht="14.4" x14ac:dyDescent="0.3">
      <c r="C6" s="3"/>
      <c r="D6" s="3"/>
      <c r="E6" s="87"/>
      <c r="F6" s="3"/>
      <c r="K6" s="3"/>
      <c r="N6" s="13"/>
    </row>
    <row r="7" spans="1:14" x14ac:dyDescent="0.3">
      <c r="A7" s="69" t="s">
        <v>368</v>
      </c>
      <c r="B7" s="83" t="s">
        <v>369</v>
      </c>
      <c r="C7" s="84" t="s">
        <v>370</v>
      </c>
      <c r="D7" s="3"/>
      <c r="E7" s="87"/>
      <c r="F7" s="3"/>
      <c r="K7" s="3"/>
      <c r="N7" s="13"/>
    </row>
    <row r="8" spans="1:14" ht="14.4" x14ac:dyDescent="0.3">
      <c r="A8" s="19" t="s">
        <v>371</v>
      </c>
      <c r="B8" s="50">
        <f>$B$5*C8</f>
        <v>0</v>
      </c>
      <c r="C8" s="102">
        <f>'N+1 '!J15</f>
        <v>0.12</v>
      </c>
      <c r="D8" s="3"/>
      <c r="E8" s="87"/>
      <c r="F8" s="3"/>
      <c r="K8" s="3"/>
    </row>
    <row r="9" spans="1:14" ht="14.4" x14ac:dyDescent="0.3">
      <c r="A9" s="19" t="s">
        <v>372</v>
      </c>
      <c r="B9" s="50">
        <f>$B$5*C9</f>
        <v>0</v>
      </c>
      <c r="C9" s="102">
        <f>1-C8</f>
        <v>0.88</v>
      </c>
      <c r="D9" s="3"/>
      <c r="E9" s="87"/>
      <c r="F9" s="3"/>
      <c r="K9" s="3"/>
    </row>
    <row r="10" spans="1:14" x14ac:dyDescent="0.3">
      <c r="A10" s="19" t="s">
        <v>286</v>
      </c>
      <c r="B10" s="50">
        <f>SUM(B8:B9)</f>
        <v>0</v>
      </c>
      <c r="C10" s="102">
        <f>SUM(C8:C9)</f>
        <v>1</v>
      </c>
      <c r="D10" s="3"/>
      <c r="E10" s="87"/>
      <c r="F10" s="3"/>
      <c r="K10" s="3"/>
    </row>
    <row r="11" spans="1:14" ht="14.4" x14ac:dyDescent="0.3">
      <c r="D11" s="3"/>
      <c r="E11" s="87"/>
      <c r="F11" s="3"/>
      <c r="K11" s="3"/>
    </row>
    <row r="12" spans="1:14" x14ac:dyDescent="0.3">
      <c r="A12" s="69" t="s">
        <v>373</v>
      </c>
      <c r="B12" s="83" t="s">
        <v>369</v>
      </c>
      <c r="C12" s="84" t="s">
        <v>370</v>
      </c>
      <c r="D12" s="3"/>
      <c r="E12" s="87"/>
      <c r="F12" s="3"/>
      <c r="K12" s="3"/>
    </row>
    <row r="13" spans="1:14" ht="14.4" x14ac:dyDescent="0.3">
      <c r="A13" s="19" t="s">
        <v>371</v>
      </c>
      <c r="B13" s="50">
        <f>$B$5*C13</f>
        <v>0</v>
      </c>
      <c r="C13" s="102">
        <f>C8</f>
        <v>0.12</v>
      </c>
      <c r="D13" s="3"/>
      <c r="E13" s="87"/>
      <c r="F13" s="3"/>
      <c r="K13" s="3"/>
    </row>
    <row r="14" spans="1:14" ht="14.4" x14ac:dyDescent="0.3">
      <c r="A14" s="19" t="s">
        <v>372</v>
      </c>
      <c r="B14" s="50">
        <f>$B$5*C14</f>
        <v>0</v>
      </c>
      <c r="C14" s="102">
        <f>C19-C8</f>
        <v>0.83</v>
      </c>
      <c r="D14" s="3"/>
      <c r="E14" s="87"/>
      <c r="F14" s="3"/>
      <c r="K14" s="3"/>
    </row>
    <row r="15" spans="1:14" ht="14.4" x14ac:dyDescent="0.3">
      <c r="A15" s="19" t="s">
        <v>375</v>
      </c>
      <c r="B15" s="50">
        <f>$B$5*C15</f>
        <v>0</v>
      </c>
      <c r="C15" s="102">
        <f>1-C19</f>
        <v>5.0000000000000044E-2</v>
      </c>
      <c r="D15" s="3"/>
      <c r="E15" s="87"/>
      <c r="K15" s="3"/>
      <c r="M15" s="3"/>
    </row>
    <row r="16" spans="1:14" x14ac:dyDescent="0.3">
      <c r="A16" s="19" t="s">
        <v>286</v>
      </c>
      <c r="B16" s="50">
        <f>SUM(B13:B15)</f>
        <v>0</v>
      </c>
      <c r="C16" s="102">
        <f>SUM(C13:C15)</f>
        <v>1</v>
      </c>
      <c r="D16" s="3"/>
      <c r="E16" s="87"/>
      <c r="F16" s="3"/>
      <c r="K16" s="3"/>
    </row>
    <row r="17" spans="1:25" ht="14.4" x14ac:dyDescent="0.3">
      <c r="E17" s="87"/>
      <c r="F17" s="3"/>
      <c r="K17" s="3"/>
      <c r="N17" s="13"/>
    </row>
    <row r="18" spans="1:25" x14ac:dyDescent="0.3">
      <c r="A18" s="83" t="s">
        <v>376</v>
      </c>
      <c r="B18" s="83" t="s">
        <v>369</v>
      </c>
      <c r="C18" s="84" t="s">
        <v>370</v>
      </c>
      <c r="D18" s="70" t="s">
        <v>377</v>
      </c>
      <c r="E18" s="87"/>
      <c r="F18" s="3"/>
      <c r="K18" s="3"/>
      <c r="N18" s="13"/>
    </row>
    <row r="19" spans="1:25" ht="14.4" x14ac:dyDescent="0.3">
      <c r="A19" s="19" t="str">
        <f>"Payment ceiling at "&amp;TEXT(C19,"0%")</f>
        <v>Payment ceiling at 95%</v>
      </c>
      <c r="B19" s="50">
        <f>B5*C19</f>
        <v>0</v>
      </c>
      <c r="C19" s="103">
        <f>Inflows!C22</f>
        <v>0.95</v>
      </c>
      <c r="D19" s="50">
        <f>B5-B19</f>
        <v>0</v>
      </c>
      <c r="E19" s="87"/>
      <c r="F19" s="3"/>
      <c r="K19" s="3"/>
      <c r="N19" s="13"/>
    </row>
    <row r="20" spans="1:25" ht="18" x14ac:dyDescent="0.3">
      <c r="A20" s="19" t="s">
        <v>379</v>
      </c>
      <c r="B20" s="98"/>
      <c r="C20" s="103">
        <f>C8</f>
        <v>0.12</v>
      </c>
      <c r="D20" s="50">
        <f>B8</f>
        <v>0</v>
      </c>
      <c r="E20" s="87"/>
      <c r="K20" s="3"/>
      <c r="N20" s="13"/>
      <c r="O20" s="157" t="s">
        <v>409</v>
      </c>
      <c r="P20" s="157"/>
      <c r="Q20" s="157"/>
      <c r="R20" s="157"/>
      <c r="S20" s="157"/>
      <c r="T20" s="157"/>
      <c r="U20" s="157"/>
      <c r="V20" s="157"/>
      <c r="W20" s="157"/>
      <c r="X20" s="157"/>
      <c r="Y20" s="157"/>
    </row>
    <row r="21" spans="1:25" ht="14.4" x14ac:dyDescent="0.3">
      <c r="A21" s="19" t="s">
        <v>380</v>
      </c>
      <c r="B21" s="50">
        <f>B14</f>
        <v>0</v>
      </c>
      <c r="C21" s="103">
        <f>C19-C20</f>
        <v>0.83</v>
      </c>
      <c r="D21" s="50">
        <f>SUM(D19:D20)</f>
        <v>0</v>
      </c>
      <c r="E21" s="87"/>
      <c r="F21" s="3"/>
      <c r="K21" s="3"/>
      <c r="N21" s="13"/>
    </row>
    <row r="22" spans="1:25" ht="14.4" x14ac:dyDescent="0.3">
      <c r="K22" s="3"/>
      <c r="M22" s="3"/>
      <c r="O22" t="s">
        <v>410</v>
      </c>
    </row>
    <row r="23" spans="1:25" ht="14.4" x14ac:dyDescent="0.3">
      <c r="A23" s="83" t="s">
        <v>411</v>
      </c>
      <c r="B23" s="70">
        <v>2028</v>
      </c>
      <c r="C23" s="70">
        <v>2029</v>
      </c>
      <c r="D23" s="70">
        <v>2030</v>
      </c>
      <c r="E23" s="70">
        <v>2031</v>
      </c>
      <c r="F23" s="70">
        <v>2032</v>
      </c>
      <c r="G23" s="70">
        <v>2033</v>
      </c>
      <c r="H23" s="70">
        <v>2034</v>
      </c>
      <c r="I23" s="70">
        <v>2035</v>
      </c>
      <c r="J23" s="70" t="s">
        <v>362</v>
      </c>
      <c r="K23" s="70" t="s">
        <v>319</v>
      </c>
      <c r="O23" s="83" t="s">
        <v>409</v>
      </c>
      <c r="P23" s="70">
        <v>2028</v>
      </c>
      <c r="Q23" s="70">
        <v>2029</v>
      </c>
      <c r="R23" s="70">
        <v>2030</v>
      </c>
      <c r="S23" s="70">
        <v>2031</v>
      </c>
      <c r="T23" s="70">
        <v>2032</v>
      </c>
      <c r="U23" s="70">
        <v>2033</v>
      </c>
      <c r="V23" s="70">
        <v>2034</v>
      </c>
      <c r="W23" s="70">
        <v>2035</v>
      </c>
      <c r="X23" s="70" t="s">
        <v>362</v>
      </c>
      <c r="Y23" s="70" t="s">
        <v>319</v>
      </c>
    </row>
    <row r="24" spans="1:25" ht="14.4" x14ac:dyDescent="0.3">
      <c r="A24" s="19" t="str">
        <f t="shared" ref="A24:J29" si="0">O24</f>
        <v>Call 1 projects</v>
      </c>
      <c r="B24" s="50">
        <f t="shared" si="0"/>
        <v>0</v>
      </c>
      <c r="C24" s="50">
        <f t="shared" si="0"/>
        <v>0</v>
      </c>
      <c r="D24" s="50">
        <f t="shared" si="0"/>
        <v>0</v>
      </c>
      <c r="E24" s="50">
        <f t="shared" si="0"/>
        <v>0</v>
      </c>
      <c r="F24" s="50">
        <f t="shared" si="0"/>
        <v>0</v>
      </c>
      <c r="G24" s="50">
        <f t="shared" si="0"/>
        <v>0</v>
      </c>
      <c r="H24" s="50">
        <f t="shared" si="0"/>
        <v>0</v>
      </c>
      <c r="I24" s="50">
        <f t="shared" si="0"/>
        <v>0</v>
      </c>
      <c r="J24" s="50">
        <f t="shared" si="0"/>
        <v>0</v>
      </c>
      <c r="K24" s="64">
        <f t="shared" ref="K24:K30" si="1">SUM(B24:J24)</f>
        <v>0</v>
      </c>
      <c r="O24" s="109" t="s">
        <v>412</v>
      </c>
      <c r="P24" s="110"/>
      <c r="Q24" s="110"/>
      <c r="R24" s="110"/>
      <c r="S24" s="110"/>
      <c r="T24" s="110"/>
      <c r="U24" s="110"/>
      <c r="V24" s="110"/>
      <c r="W24" s="110"/>
      <c r="X24" s="110"/>
      <c r="Y24" s="99">
        <f t="shared" ref="Y24:Y30" si="2">SUM(P24:X24)</f>
        <v>0</v>
      </c>
    </row>
    <row r="25" spans="1:25" ht="14.4" x14ac:dyDescent="0.3">
      <c r="A25" s="19" t="str">
        <f t="shared" si="0"/>
        <v>Call 2 projects</v>
      </c>
      <c r="B25" s="50">
        <f t="shared" si="0"/>
        <v>0</v>
      </c>
      <c r="C25" s="50">
        <f t="shared" si="0"/>
        <v>0</v>
      </c>
      <c r="D25" s="50">
        <f t="shared" si="0"/>
        <v>0</v>
      </c>
      <c r="E25" s="50">
        <f t="shared" si="0"/>
        <v>0</v>
      </c>
      <c r="F25" s="50">
        <f t="shared" si="0"/>
        <v>0</v>
      </c>
      <c r="G25" s="50">
        <f t="shared" si="0"/>
        <v>0</v>
      </c>
      <c r="H25" s="50">
        <f t="shared" si="0"/>
        <v>0</v>
      </c>
      <c r="I25" s="50">
        <f t="shared" si="0"/>
        <v>0</v>
      </c>
      <c r="J25" s="50">
        <f t="shared" si="0"/>
        <v>0</v>
      </c>
      <c r="K25" s="64">
        <f t="shared" si="1"/>
        <v>0</v>
      </c>
      <c r="O25" s="109" t="s">
        <v>413</v>
      </c>
      <c r="P25" s="110"/>
      <c r="Q25" s="110"/>
      <c r="R25" s="110"/>
      <c r="S25" s="110"/>
      <c r="T25" s="110"/>
      <c r="U25" s="110"/>
      <c r="V25" s="110"/>
      <c r="W25" s="110"/>
      <c r="X25" s="110"/>
      <c r="Y25" s="99">
        <f t="shared" si="2"/>
        <v>0</v>
      </c>
    </row>
    <row r="26" spans="1:25" ht="14.4" x14ac:dyDescent="0.3">
      <c r="A26" s="19" t="str">
        <f t="shared" si="0"/>
        <v>Call 3 projects</v>
      </c>
      <c r="B26" s="50">
        <f t="shared" si="0"/>
        <v>0</v>
      </c>
      <c r="C26" s="50">
        <f t="shared" si="0"/>
        <v>0</v>
      </c>
      <c r="D26" s="50">
        <f t="shared" si="0"/>
        <v>0</v>
      </c>
      <c r="E26" s="50">
        <f t="shared" si="0"/>
        <v>0</v>
      </c>
      <c r="F26" s="50">
        <f t="shared" si="0"/>
        <v>0</v>
      </c>
      <c r="G26" s="50">
        <f t="shared" si="0"/>
        <v>0</v>
      </c>
      <c r="H26" s="50">
        <f t="shared" si="0"/>
        <v>0</v>
      </c>
      <c r="I26" s="50">
        <f t="shared" si="0"/>
        <v>0</v>
      </c>
      <c r="J26" s="50">
        <f t="shared" si="0"/>
        <v>0</v>
      </c>
      <c r="K26" s="64">
        <f t="shared" si="1"/>
        <v>0</v>
      </c>
      <c r="O26" s="109" t="s">
        <v>414</v>
      </c>
      <c r="P26" s="110"/>
      <c r="Q26" s="110"/>
      <c r="R26" s="110"/>
      <c r="S26" s="110"/>
      <c r="T26" s="110"/>
      <c r="U26" s="110"/>
      <c r="V26" s="110"/>
      <c r="W26" s="110"/>
      <c r="X26" s="110"/>
      <c r="Y26" s="99">
        <f t="shared" si="2"/>
        <v>0</v>
      </c>
    </row>
    <row r="27" spans="1:25" ht="14.4" x14ac:dyDescent="0.3">
      <c r="A27" s="19" t="str">
        <f t="shared" si="0"/>
        <v>Call 4  projects</v>
      </c>
      <c r="B27" s="50">
        <f t="shared" si="0"/>
        <v>0</v>
      </c>
      <c r="C27" s="50">
        <f t="shared" si="0"/>
        <v>0</v>
      </c>
      <c r="D27" s="50">
        <f t="shared" si="0"/>
        <v>0</v>
      </c>
      <c r="E27" s="50">
        <f t="shared" si="0"/>
        <v>0</v>
      </c>
      <c r="F27" s="50">
        <f t="shared" si="0"/>
        <v>0</v>
      </c>
      <c r="G27" s="50">
        <f t="shared" si="0"/>
        <v>0</v>
      </c>
      <c r="H27" s="50">
        <f t="shared" si="0"/>
        <v>0</v>
      </c>
      <c r="I27" s="50">
        <f t="shared" si="0"/>
        <v>0</v>
      </c>
      <c r="J27" s="50">
        <f t="shared" si="0"/>
        <v>0</v>
      </c>
      <c r="K27" s="64">
        <f t="shared" si="1"/>
        <v>0</v>
      </c>
      <c r="O27" s="109" t="s">
        <v>415</v>
      </c>
      <c r="P27" s="110"/>
      <c r="Q27" s="110"/>
      <c r="R27" s="110"/>
      <c r="S27" s="110"/>
      <c r="T27" s="110"/>
      <c r="U27" s="110"/>
      <c r="V27" s="110"/>
      <c r="W27" s="110"/>
      <c r="X27" s="110"/>
      <c r="Y27" s="99">
        <f t="shared" si="2"/>
        <v>0</v>
      </c>
    </row>
    <row r="28" spans="1:25" ht="14.4" x14ac:dyDescent="0.3">
      <c r="A28" s="19" t="str">
        <f t="shared" si="0"/>
        <v>Call 5  projects</v>
      </c>
      <c r="B28" s="50">
        <f t="shared" si="0"/>
        <v>0</v>
      </c>
      <c r="C28" s="50">
        <f t="shared" si="0"/>
        <v>0</v>
      </c>
      <c r="D28" s="50">
        <f t="shared" si="0"/>
        <v>0</v>
      </c>
      <c r="E28" s="50">
        <f t="shared" si="0"/>
        <v>0</v>
      </c>
      <c r="F28" s="50">
        <f t="shared" si="0"/>
        <v>0</v>
      </c>
      <c r="G28" s="50">
        <f t="shared" si="0"/>
        <v>0</v>
      </c>
      <c r="H28" s="50">
        <f t="shared" si="0"/>
        <v>0</v>
      </c>
      <c r="I28" s="50">
        <f t="shared" si="0"/>
        <v>0</v>
      </c>
      <c r="J28" s="50">
        <f t="shared" si="0"/>
        <v>0</v>
      </c>
      <c r="K28" s="64">
        <f t="shared" si="1"/>
        <v>0</v>
      </c>
      <c r="O28" s="109" t="s">
        <v>416</v>
      </c>
      <c r="P28" s="110"/>
      <c r="Q28" s="110"/>
      <c r="R28" s="110"/>
      <c r="S28" s="110"/>
      <c r="T28" s="110"/>
      <c r="U28" s="110"/>
      <c r="V28" s="110"/>
      <c r="W28" s="110"/>
      <c r="X28" s="110"/>
      <c r="Y28" s="99">
        <f t="shared" si="2"/>
        <v>0</v>
      </c>
    </row>
    <row r="29" spans="1:25" ht="14.4" x14ac:dyDescent="0.3">
      <c r="A29" s="19" t="str">
        <f t="shared" si="0"/>
        <v>Call 6 projects</v>
      </c>
      <c r="B29" s="50">
        <f t="shared" si="0"/>
        <v>0</v>
      </c>
      <c r="C29" s="50">
        <f t="shared" si="0"/>
        <v>0</v>
      </c>
      <c r="D29" s="50">
        <f t="shared" si="0"/>
        <v>0</v>
      </c>
      <c r="E29" s="50">
        <f t="shared" si="0"/>
        <v>0</v>
      </c>
      <c r="F29" s="50">
        <f t="shared" si="0"/>
        <v>0</v>
      </c>
      <c r="G29" s="50">
        <f t="shared" si="0"/>
        <v>0</v>
      </c>
      <c r="H29" s="50">
        <f t="shared" si="0"/>
        <v>0</v>
      </c>
      <c r="I29" s="50">
        <f t="shared" si="0"/>
        <v>0</v>
      </c>
      <c r="J29" s="50">
        <f t="shared" si="0"/>
        <v>0</v>
      </c>
      <c r="K29" s="64">
        <f t="shared" si="1"/>
        <v>0</v>
      </c>
      <c r="O29" s="109" t="s">
        <v>417</v>
      </c>
      <c r="P29" s="110"/>
      <c r="Q29" s="110"/>
      <c r="R29" s="110"/>
      <c r="S29" s="110"/>
      <c r="T29" s="110"/>
      <c r="U29" s="110"/>
      <c r="V29" s="110"/>
      <c r="W29" s="110"/>
      <c r="X29" s="110"/>
      <c r="Y29" s="99">
        <f t="shared" si="2"/>
        <v>0</v>
      </c>
    </row>
    <row r="30" spans="1:25" ht="14.4" x14ac:dyDescent="0.3">
      <c r="A30" s="19" t="s">
        <v>418</v>
      </c>
      <c r="B30" s="50">
        <f t="shared" ref="B30:J30" si="3">SUM(B24:B29)</f>
        <v>0</v>
      </c>
      <c r="C30" s="64">
        <f t="shared" si="3"/>
        <v>0</v>
      </c>
      <c r="D30" s="64">
        <f t="shared" si="3"/>
        <v>0</v>
      </c>
      <c r="E30" s="64">
        <f t="shared" si="3"/>
        <v>0</v>
      </c>
      <c r="F30" s="64">
        <f t="shared" si="3"/>
        <v>0</v>
      </c>
      <c r="G30" s="64">
        <f t="shared" si="3"/>
        <v>0</v>
      </c>
      <c r="H30" s="64">
        <f t="shared" si="3"/>
        <v>0</v>
      </c>
      <c r="I30" s="64">
        <f t="shared" si="3"/>
        <v>0</v>
      </c>
      <c r="J30" s="64">
        <f t="shared" si="3"/>
        <v>0</v>
      </c>
      <c r="K30" s="64">
        <f t="shared" si="1"/>
        <v>0</v>
      </c>
      <c r="O30" s="19" t="s">
        <v>418</v>
      </c>
      <c r="P30" s="99">
        <f t="shared" ref="P30:X30" si="4">SUM(P24:P29)</f>
        <v>0</v>
      </c>
      <c r="Q30" s="99">
        <f t="shared" si="4"/>
        <v>0</v>
      </c>
      <c r="R30" s="99">
        <f t="shared" si="4"/>
        <v>0</v>
      </c>
      <c r="S30" s="99">
        <f t="shared" si="4"/>
        <v>0</v>
      </c>
      <c r="T30" s="99">
        <f t="shared" si="4"/>
        <v>0</v>
      </c>
      <c r="U30" s="99">
        <f t="shared" si="4"/>
        <v>0</v>
      </c>
      <c r="V30" s="99">
        <f t="shared" si="4"/>
        <v>0</v>
      </c>
      <c r="W30" s="99">
        <f t="shared" si="4"/>
        <v>0</v>
      </c>
      <c r="X30" s="99">
        <f t="shared" si="4"/>
        <v>0</v>
      </c>
      <c r="Y30" s="99">
        <f t="shared" si="2"/>
        <v>0</v>
      </c>
    </row>
    <row r="32" spans="1:25" ht="14.4" x14ac:dyDescent="0.3">
      <c r="A32" s="83" t="s">
        <v>419</v>
      </c>
      <c r="B32" s="70">
        <v>2028</v>
      </c>
      <c r="C32" s="70">
        <v>2029</v>
      </c>
      <c r="D32" s="70">
        <v>2030</v>
      </c>
      <c r="E32" s="70">
        <v>2031</v>
      </c>
      <c r="F32" s="70">
        <v>2032</v>
      </c>
      <c r="G32" s="70">
        <v>2033</v>
      </c>
      <c r="H32" s="70">
        <v>2034</v>
      </c>
      <c r="I32" s="70">
        <v>2035</v>
      </c>
      <c r="J32" s="70" t="s">
        <v>362</v>
      </c>
      <c r="K32" s="70" t="s">
        <v>319</v>
      </c>
      <c r="L32" s="11"/>
    </row>
    <row r="33" spans="1:25" ht="14.4" x14ac:dyDescent="0.3">
      <c r="A33" s="19" t="s">
        <v>420</v>
      </c>
      <c r="B33" s="50">
        <f>IF(Inflows!$J$7=0,0,Inflows!B28/Inflows!$J$7*$B$5)</f>
        <v>0</v>
      </c>
      <c r="C33" s="50">
        <f>IF(Inflows!$J$7=0,0,Inflows!C28/Inflows!$J$7*$B$5)</f>
        <v>0</v>
      </c>
      <c r="D33" s="50">
        <f>IF(Inflows!$J$7=0,0,Inflows!D28/Inflows!$J$7*$B$5)</f>
        <v>0</v>
      </c>
      <c r="E33" s="50">
        <f>IF(Inflows!$J$7=0,0,Inflows!E28/Inflows!$J$7*$B$5)</f>
        <v>0</v>
      </c>
      <c r="F33" s="50">
        <f>IF(Inflows!$J$7=0,0,Inflows!F28/Inflows!$J$7*$B$5)</f>
        <v>0</v>
      </c>
      <c r="G33" s="50">
        <f>IF(Inflows!$J$7=0,0,Inflows!G28/Inflows!$J$7*$B$5)</f>
        <v>0</v>
      </c>
      <c r="H33" s="50">
        <f>IF(Inflows!$J$7=0,0,Inflows!H28/Inflows!$J$7*$B$5)</f>
        <v>0</v>
      </c>
      <c r="I33" s="50">
        <f>IF(Inflows!$J$7=0,0,Inflows!I28/Inflows!$J$7*$B$5)</f>
        <v>0</v>
      </c>
      <c r="J33" s="88"/>
      <c r="K33" s="64">
        <f>SUM(B33:J33)</f>
        <v>0</v>
      </c>
      <c r="L33" s="1"/>
    </row>
    <row r="34" spans="1:25" ht="18" x14ac:dyDescent="0.3">
      <c r="A34" s="19" t="s">
        <v>383</v>
      </c>
      <c r="B34" s="50">
        <f>'pay out values'!P44</f>
        <v>0</v>
      </c>
      <c r="C34" s="50">
        <f>'pay out values'!Q44</f>
        <v>0</v>
      </c>
      <c r="D34" s="50">
        <f>'pay out values'!R44</f>
        <v>0</v>
      </c>
      <c r="E34" s="50">
        <f>'pay out values'!S44</f>
        <v>0</v>
      </c>
      <c r="F34" s="50">
        <f>'pay out values'!T44</f>
        <v>0</v>
      </c>
      <c r="G34" s="50">
        <f>'pay out values'!U44</f>
        <v>0</v>
      </c>
      <c r="H34" s="50">
        <f>'pay out values'!V44</f>
        <v>0</v>
      </c>
      <c r="I34" s="50">
        <f>'pay out values'!W44</f>
        <v>0</v>
      </c>
      <c r="J34" s="88"/>
      <c r="K34" s="64">
        <f>SUM(B34:J34)</f>
        <v>0</v>
      </c>
      <c r="O34" s="157" t="s">
        <v>421</v>
      </c>
      <c r="P34" s="157"/>
      <c r="Q34" s="157"/>
      <c r="R34" s="157"/>
      <c r="S34" s="157"/>
      <c r="T34" s="157"/>
      <c r="U34" s="157"/>
      <c r="V34" s="157"/>
      <c r="W34" s="157"/>
      <c r="X34" s="157"/>
      <c r="Y34" s="157"/>
    </row>
    <row r="35" spans="1:25" ht="14.4" x14ac:dyDescent="0.3">
      <c r="A35" s="19" t="s">
        <v>384</v>
      </c>
      <c r="B35" s="50">
        <f>B34</f>
        <v>0</v>
      </c>
      <c r="C35" s="50">
        <f t="shared" ref="C35:I35" si="5">B35+C34</f>
        <v>0</v>
      </c>
      <c r="D35" s="50">
        <f t="shared" si="5"/>
        <v>0</v>
      </c>
      <c r="E35" s="50">
        <f t="shared" si="5"/>
        <v>0</v>
      </c>
      <c r="F35" s="50">
        <f t="shared" si="5"/>
        <v>0</v>
      </c>
      <c r="G35" s="50">
        <f t="shared" si="5"/>
        <v>0</v>
      </c>
      <c r="H35" s="50">
        <f t="shared" si="5"/>
        <v>0</v>
      </c>
      <c r="I35" s="50">
        <f t="shared" si="5"/>
        <v>0</v>
      </c>
      <c r="J35" s="88"/>
      <c r="K35" s="107"/>
    </row>
    <row r="36" spans="1:25" ht="14.4" x14ac:dyDescent="0.3">
      <c r="A36" s="19" t="s">
        <v>385</v>
      </c>
      <c r="B36" s="50">
        <f>B35+SUM($B33:B33)</f>
        <v>0</v>
      </c>
      <c r="C36" s="50">
        <f>C35+SUM($B33:C33)</f>
        <v>0</v>
      </c>
      <c r="D36" s="50">
        <f>D35+SUM($B33:D33)</f>
        <v>0</v>
      </c>
      <c r="E36" s="50">
        <f>E35+SUM($B33:E33)</f>
        <v>0</v>
      </c>
      <c r="F36" s="50">
        <f>F35+SUM($B33:F33)</f>
        <v>0</v>
      </c>
      <c r="G36" s="50">
        <f>G35+SUM($B33:G33)</f>
        <v>0</v>
      </c>
      <c r="H36" s="50">
        <f>H35+SUM($B33:H33)</f>
        <v>0</v>
      </c>
      <c r="I36" s="50">
        <f>I35+SUM($B33:I33)</f>
        <v>0</v>
      </c>
      <c r="J36" s="88"/>
      <c r="K36" s="107"/>
      <c r="O36" s="177" t="s">
        <v>422</v>
      </c>
      <c r="P36" s="178"/>
      <c r="Q36" s="178"/>
      <c r="R36" s="178"/>
      <c r="S36" s="178"/>
      <c r="T36" s="178"/>
      <c r="U36" s="178"/>
      <c r="V36" s="178"/>
    </row>
    <row r="37" spans="1:25" ht="14.4" x14ac:dyDescent="0.3">
      <c r="A37" s="19" t="str">
        <f>"amount above "&amp;TEXT($C$19,"0%")&amp;" ceiling"</f>
        <v>amount above 95% ceiling</v>
      </c>
      <c r="B37" s="50">
        <f t="shared" ref="B37:I37" si="6">IF(B36&gt;$B$19, B36-$B$19, 0)</f>
        <v>0</v>
      </c>
      <c r="C37" s="50">
        <f t="shared" si="6"/>
        <v>0</v>
      </c>
      <c r="D37" s="50">
        <f t="shared" si="6"/>
        <v>0</v>
      </c>
      <c r="E37" s="50">
        <f t="shared" si="6"/>
        <v>0</v>
      </c>
      <c r="F37" s="50">
        <f t="shared" si="6"/>
        <v>0</v>
      </c>
      <c r="G37" s="50">
        <f t="shared" si="6"/>
        <v>0</v>
      </c>
      <c r="H37" s="50">
        <f t="shared" si="6"/>
        <v>0</v>
      </c>
      <c r="I37" s="50">
        <f t="shared" si="6"/>
        <v>0</v>
      </c>
      <c r="J37" s="88"/>
      <c r="K37" s="107"/>
      <c r="O37" s="83" t="s">
        <v>423</v>
      </c>
      <c r="P37" s="70" t="s">
        <v>424</v>
      </c>
      <c r="Q37" s="70" t="s">
        <v>425</v>
      </c>
      <c r="R37" s="70" t="s">
        <v>426</v>
      </c>
      <c r="S37" s="70" t="s">
        <v>427</v>
      </c>
      <c r="T37" s="70" t="s">
        <v>428</v>
      </c>
      <c r="U37" s="70" t="s">
        <v>429</v>
      </c>
      <c r="V37" s="70" t="s">
        <v>319</v>
      </c>
    </row>
    <row r="38" spans="1:25" ht="14.4" x14ac:dyDescent="0.3">
      <c r="A38" s="19" t="str">
        <f>"clearance of pre-financing AND impact of "&amp;TEXT($C$19,"0%")&amp;" ceiling"</f>
        <v>clearance of pre-financing AND impact of 95% ceiling</v>
      </c>
      <c r="B38" s="50">
        <f>MIN(B36,$B$19)-B33-B34</f>
        <v>0</v>
      </c>
      <c r="C38" s="50">
        <f t="shared" ref="C38:I38" si="7">MIN(C36,$B$19)-MIN(B36,$B$19)-C33-C34</f>
        <v>0</v>
      </c>
      <c r="D38" s="50">
        <f t="shared" si="7"/>
        <v>0</v>
      </c>
      <c r="E38" s="50">
        <f t="shared" si="7"/>
        <v>0</v>
      </c>
      <c r="F38" s="50">
        <f t="shared" si="7"/>
        <v>0</v>
      </c>
      <c r="G38" s="50">
        <f t="shared" si="7"/>
        <v>0</v>
      </c>
      <c r="H38" s="50">
        <f t="shared" si="7"/>
        <v>0</v>
      </c>
      <c r="I38" s="50">
        <f t="shared" si="7"/>
        <v>0</v>
      </c>
      <c r="J38" s="88"/>
      <c r="K38" s="64">
        <f>SUM(B38:J38)</f>
        <v>0</v>
      </c>
      <c r="O38" s="83" t="s">
        <v>430</v>
      </c>
      <c r="P38" s="111">
        <v>0.05</v>
      </c>
      <c r="Q38" s="111">
        <v>0.15</v>
      </c>
      <c r="R38" s="111">
        <v>0.35</v>
      </c>
      <c r="S38" s="111">
        <v>0.25</v>
      </c>
      <c r="T38" s="111">
        <v>0.15</v>
      </c>
      <c r="U38" s="111">
        <v>0.05</v>
      </c>
      <c r="V38" s="100">
        <f>SUM(P38:U38)</f>
        <v>1</v>
      </c>
    </row>
    <row r="39" spans="1:25" x14ac:dyDescent="0.3">
      <c r="A39" s="19" t="str">
        <f>TEXT(1-$C$19,"0%")&amp;" paid after programme closure"</f>
        <v>5% paid after programme closure</v>
      </c>
      <c r="B39" s="89"/>
      <c r="C39" s="90"/>
      <c r="D39" s="90"/>
      <c r="E39" s="90"/>
      <c r="F39" s="90"/>
      <c r="G39" s="90"/>
      <c r="H39" s="90"/>
      <c r="I39" s="91"/>
      <c r="J39" s="50">
        <f>B15</f>
        <v>0</v>
      </c>
      <c r="K39" s="64">
        <f>SUM(B39:J39)</f>
        <v>0</v>
      </c>
      <c r="O39" s="83" t="s">
        <v>431</v>
      </c>
      <c r="P39" s="95">
        <f t="shared" ref="P39:U39" si="8">P38*$T$42</f>
        <v>0</v>
      </c>
      <c r="Q39" s="95">
        <f t="shared" si="8"/>
        <v>0</v>
      </c>
      <c r="R39" s="95">
        <f t="shared" si="8"/>
        <v>0</v>
      </c>
      <c r="S39" s="95">
        <f t="shared" si="8"/>
        <v>0</v>
      </c>
      <c r="T39" s="95">
        <f t="shared" si="8"/>
        <v>0</v>
      </c>
      <c r="U39" s="95">
        <f t="shared" si="8"/>
        <v>0</v>
      </c>
      <c r="V39" s="95">
        <f>SUM(P39:U39)</f>
        <v>0</v>
      </c>
    </row>
    <row r="40" spans="1:25" ht="14.4" x14ac:dyDescent="0.3">
      <c r="A40" s="19" t="s">
        <v>386</v>
      </c>
      <c r="B40" s="64">
        <f t="shared" ref="B40:J40" si="9">B34+B38+B39</f>
        <v>0</v>
      </c>
      <c r="C40" s="64">
        <f t="shared" si="9"/>
        <v>0</v>
      </c>
      <c r="D40" s="64">
        <f t="shared" si="9"/>
        <v>0</v>
      </c>
      <c r="E40" s="64">
        <f t="shared" si="9"/>
        <v>0</v>
      </c>
      <c r="F40" s="64">
        <f t="shared" si="9"/>
        <v>0</v>
      </c>
      <c r="G40" s="64">
        <f t="shared" si="9"/>
        <v>0</v>
      </c>
      <c r="H40" s="64">
        <f t="shared" si="9"/>
        <v>0</v>
      </c>
      <c r="I40" s="64">
        <f t="shared" si="9"/>
        <v>0</v>
      </c>
      <c r="J40" s="64">
        <f t="shared" si="9"/>
        <v>0</v>
      </c>
      <c r="K40" s="64">
        <f>SUM(B40:J40)</f>
        <v>0</v>
      </c>
      <c r="L40" s="1"/>
    </row>
    <row r="41" spans="1:25" ht="14.4" x14ac:dyDescent="0.3">
      <c r="A41" s="19" t="s">
        <v>387</v>
      </c>
      <c r="B41" s="93">
        <f t="shared" ref="B41:I41" si="10">IF(B34=0,0,B40/B34)</f>
        <v>0</v>
      </c>
      <c r="C41" s="93">
        <f t="shared" si="10"/>
        <v>0</v>
      </c>
      <c r="D41" s="93">
        <f t="shared" si="10"/>
        <v>0</v>
      </c>
      <c r="E41" s="93">
        <f t="shared" si="10"/>
        <v>0</v>
      </c>
      <c r="F41" s="93">
        <f t="shared" si="10"/>
        <v>0</v>
      </c>
      <c r="G41" s="93">
        <f t="shared" si="10"/>
        <v>0</v>
      </c>
      <c r="H41" s="93">
        <f t="shared" si="10"/>
        <v>0</v>
      </c>
      <c r="I41" s="93">
        <f t="shared" si="10"/>
        <v>0</v>
      </c>
      <c r="J41" s="98"/>
      <c r="K41" s="98"/>
      <c r="L41" s="1"/>
      <c r="P41" s="13" t="s">
        <v>432</v>
      </c>
      <c r="T41" t="s">
        <v>433</v>
      </c>
    </row>
    <row r="42" spans="1:25" x14ac:dyDescent="0.3">
      <c r="A42" s="106" t="s">
        <v>434</v>
      </c>
      <c r="O42" s="112" t="s">
        <v>435</v>
      </c>
      <c r="P42" s="113">
        <v>5</v>
      </c>
      <c r="Q42" s="112" t="s">
        <v>436</v>
      </c>
      <c r="R42" s="113">
        <v>0</v>
      </c>
      <c r="S42" s="114"/>
      <c r="T42" s="110">
        <v>0</v>
      </c>
    </row>
    <row r="43" spans="1:25" x14ac:dyDescent="0.3">
      <c r="O43" s="112" t="s">
        <v>437</v>
      </c>
      <c r="P43" s="113">
        <v>3</v>
      </c>
      <c r="Q43" s="112" t="s">
        <v>438</v>
      </c>
      <c r="R43" s="113">
        <v>0</v>
      </c>
      <c r="S43" s="114"/>
      <c r="T43" s="114"/>
    </row>
    <row r="44" spans="1:25" x14ac:dyDescent="0.3">
      <c r="A44" s="83" t="s">
        <v>404</v>
      </c>
      <c r="B44" s="70">
        <v>2028</v>
      </c>
      <c r="C44" s="70">
        <v>2029</v>
      </c>
      <c r="D44" s="70">
        <v>2030</v>
      </c>
      <c r="E44" s="70">
        <v>2031</v>
      </c>
      <c r="F44" s="70">
        <v>2032</v>
      </c>
      <c r="G44" s="70">
        <v>2033</v>
      </c>
      <c r="H44" s="70">
        <v>2034</v>
      </c>
      <c r="I44" s="70">
        <v>2035</v>
      </c>
      <c r="J44" s="70" t="s">
        <v>362</v>
      </c>
      <c r="K44" s="70" t="s">
        <v>319</v>
      </c>
      <c r="O44" s="112" t="s">
        <v>439</v>
      </c>
      <c r="P44" s="113">
        <v>2</v>
      </c>
      <c r="Q44" s="112" t="s">
        <v>440</v>
      </c>
      <c r="R44" s="113">
        <v>0</v>
      </c>
      <c r="S44" s="114"/>
      <c r="T44" s="114" t="s">
        <v>441</v>
      </c>
    </row>
    <row r="45" spans="1:25" x14ac:dyDescent="0.3">
      <c r="A45" s="19" t="s">
        <v>442</v>
      </c>
      <c r="B45" s="50">
        <f t="shared" ref="B45:J45" si="11">B33+B40</f>
        <v>0</v>
      </c>
      <c r="C45" s="50">
        <f t="shared" si="11"/>
        <v>0</v>
      </c>
      <c r="D45" s="50">
        <f t="shared" si="11"/>
        <v>0</v>
      </c>
      <c r="E45" s="50">
        <f t="shared" si="11"/>
        <v>0</v>
      </c>
      <c r="F45" s="50">
        <f t="shared" si="11"/>
        <v>0</v>
      </c>
      <c r="G45" s="50">
        <f t="shared" si="11"/>
        <v>0</v>
      </c>
      <c r="H45" s="50">
        <f t="shared" si="11"/>
        <v>0</v>
      </c>
      <c r="I45" s="50">
        <f t="shared" si="11"/>
        <v>0</v>
      </c>
      <c r="J45" s="50">
        <f t="shared" si="11"/>
        <v>0</v>
      </c>
      <c r="K45" s="64">
        <f>SUM(B45:J45)</f>
        <v>0</v>
      </c>
    </row>
    <row r="46" spans="1:25" x14ac:dyDescent="0.3">
      <c r="A46" s="19" t="s">
        <v>443</v>
      </c>
      <c r="B46" s="50">
        <f t="shared" ref="B46:J46" si="12">P30</f>
        <v>0</v>
      </c>
      <c r="C46" s="50">
        <f t="shared" si="12"/>
        <v>0</v>
      </c>
      <c r="D46" s="50">
        <f t="shared" si="12"/>
        <v>0</v>
      </c>
      <c r="E46" s="50">
        <f t="shared" si="12"/>
        <v>0</v>
      </c>
      <c r="F46" s="50">
        <f t="shared" si="12"/>
        <v>0</v>
      </c>
      <c r="G46" s="50">
        <f t="shared" si="12"/>
        <v>0</v>
      </c>
      <c r="H46" s="50">
        <f t="shared" si="12"/>
        <v>0</v>
      </c>
      <c r="I46" s="50">
        <f t="shared" si="12"/>
        <v>0</v>
      </c>
      <c r="J46" s="50">
        <f t="shared" si="12"/>
        <v>0</v>
      </c>
      <c r="K46" s="64">
        <f>SUM(B46:J46)</f>
        <v>0</v>
      </c>
      <c r="O46" s="83" t="s">
        <v>409</v>
      </c>
      <c r="P46" s="70">
        <v>2028</v>
      </c>
      <c r="Q46" s="70">
        <v>2029</v>
      </c>
      <c r="R46" s="70">
        <v>2030</v>
      </c>
      <c r="S46" s="70">
        <v>2031</v>
      </c>
      <c r="T46" s="70">
        <v>2032</v>
      </c>
      <c r="U46" s="70">
        <v>2033</v>
      </c>
      <c r="V46" s="70">
        <v>2034</v>
      </c>
      <c r="W46" s="70">
        <v>2035</v>
      </c>
      <c r="X46" s="70" t="s">
        <v>362</v>
      </c>
      <c r="Y46" s="70" t="s">
        <v>319</v>
      </c>
    </row>
    <row r="47" spans="1:25" x14ac:dyDescent="0.3">
      <c r="A47" s="19" t="s">
        <v>444</v>
      </c>
      <c r="B47" s="50">
        <f t="shared" ref="B47:J47" si="13">B45-B46</f>
        <v>0</v>
      </c>
      <c r="C47" s="50">
        <f t="shared" si="13"/>
        <v>0</v>
      </c>
      <c r="D47" s="50">
        <f t="shared" si="13"/>
        <v>0</v>
      </c>
      <c r="E47" s="50">
        <f t="shared" si="13"/>
        <v>0</v>
      </c>
      <c r="F47" s="50">
        <f t="shared" si="13"/>
        <v>0</v>
      </c>
      <c r="G47" s="50">
        <f t="shared" si="13"/>
        <v>0</v>
      </c>
      <c r="H47" s="50">
        <f t="shared" si="13"/>
        <v>0</v>
      </c>
      <c r="I47" s="50">
        <f t="shared" si="13"/>
        <v>0</v>
      </c>
      <c r="J47" s="50">
        <f t="shared" si="13"/>
        <v>0</v>
      </c>
      <c r="K47" s="98"/>
      <c r="O47" s="113" t="s">
        <v>412</v>
      </c>
      <c r="P47" s="110"/>
      <c r="Q47" s="110">
        <f>$P$42*P$39</f>
        <v>0</v>
      </c>
      <c r="R47" s="110">
        <f>$P$42*(Q$39+R$39)</f>
        <v>0</v>
      </c>
      <c r="S47" s="110">
        <f>$P$42*(S$39+T$39)</f>
        <v>0</v>
      </c>
      <c r="T47" s="110">
        <f>$P$42*U$39</f>
        <v>0</v>
      </c>
      <c r="U47" s="110"/>
      <c r="V47" s="110"/>
      <c r="W47" s="110"/>
      <c r="X47" s="110"/>
      <c r="Y47" s="99">
        <f t="shared" ref="Y47:Y53" si="14">SUM(P47:X47)</f>
        <v>0</v>
      </c>
    </row>
    <row r="48" spans="1:25" x14ac:dyDescent="0.3">
      <c r="A48" s="19" t="s">
        <v>445</v>
      </c>
      <c r="B48" s="50">
        <f>B47</f>
        <v>0</v>
      </c>
      <c r="C48" s="50">
        <f t="shared" ref="C48:J48" si="15">B48+C47</f>
        <v>0</v>
      </c>
      <c r="D48" s="50">
        <f t="shared" si="15"/>
        <v>0</v>
      </c>
      <c r="E48" s="50">
        <f t="shared" si="15"/>
        <v>0</v>
      </c>
      <c r="F48" s="50">
        <f t="shared" si="15"/>
        <v>0</v>
      </c>
      <c r="G48" s="50">
        <f t="shared" si="15"/>
        <v>0</v>
      </c>
      <c r="H48" s="50">
        <f t="shared" si="15"/>
        <v>0</v>
      </c>
      <c r="I48" s="50">
        <f t="shared" si="15"/>
        <v>0</v>
      </c>
      <c r="J48" s="50">
        <f t="shared" si="15"/>
        <v>0</v>
      </c>
      <c r="K48" s="98"/>
      <c r="O48" s="113" t="s">
        <v>413</v>
      </c>
      <c r="P48" s="110"/>
      <c r="Q48" s="110"/>
      <c r="R48" s="110">
        <f>$P$43*P$39</f>
        <v>0</v>
      </c>
      <c r="S48" s="110">
        <f>$P$43*(Q$39+R$39)</f>
        <v>0</v>
      </c>
      <c r="T48" s="110">
        <f>$P$43*(S$39+T$39)</f>
        <v>0</v>
      </c>
      <c r="U48" s="110">
        <f>$P$43*U$39</f>
        <v>0</v>
      </c>
      <c r="V48" s="110"/>
      <c r="W48" s="110"/>
      <c r="X48" s="110"/>
      <c r="Y48" s="99">
        <f t="shared" si="14"/>
        <v>0</v>
      </c>
    </row>
    <row r="49" spans="1:25" x14ac:dyDescent="0.3">
      <c r="O49" s="113" t="s">
        <v>414</v>
      </c>
      <c r="P49" s="110"/>
      <c r="Q49" s="110"/>
      <c r="R49" s="110"/>
      <c r="S49" s="110">
        <f>$P$44*P$39</f>
        <v>0</v>
      </c>
      <c r="T49" s="110">
        <f>$P$44*(Q$39+R$39)</f>
        <v>0</v>
      </c>
      <c r="U49" s="110">
        <f>$P$44*(S$39+T$39)</f>
        <v>0</v>
      </c>
      <c r="V49" s="110">
        <f>$P$44*U$39</f>
        <v>0</v>
      </c>
      <c r="W49" s="110"/>
      <c r="X49" s="110"/>
      <c r="Y49" s="99">
        <f t="shared" si="14"/>
        <v>0</v>
      </c>
    </row>
    <row r="50" spans="1:25" x14ac:dyDescent="0.3">
      <c r="O50" s="113" t="s">
        <v>415</v>
      </c>
      <c r="P50" s="110"/>
      <c r="Q50" s="110"/>
      <c r="R50" s="110"/>
      <c r="S50" s="110"/>
      <c r="T50" s="110"/>
      <c r="U50" s="110"/>
      <c r="V50" s="110"/>
      <c r="W50" s="110"/>
      <c r="X50" s="110"/>
      <c r="Y50" s="99">
        <f t="shared" si="14"/>
        <v>0</v>
      </c>
    </row>
    <row r="51" spans="1:25" x14ac:dyDescent="0.3">
      <c r="A51" s="101" t="s">
        <v>446</v>
      </c>
      <c r="B51" s="70">
        <v>2028</v>
      </c>
      <c r="C51" s="70">
        <v>2029</v>
      </c>
      <c r="D51" s="70">
        <v>2030</v>
      </c>
      <c r="E51" s="70">
        <v>2031</v>
      </c>
      <c r="F51" s="70">
        <v>2032</v>
      </c>
      <c r="G51" s="70">
        <v>2033</v>
      </c>
      <c r="H51" s="70">
        <v>2034</v>
      </c>
      <c r="I51" s="70">
        <v>2035</v>
      </c>
      <c r="J51" s="70" t="s">
        <v>362</v>
      </c>
      <c r="O51" s="113" t="s">
        <v>416</v>
      </c>
      <c r="P51" s="110"/>
      <c r="Q51" s="110"/>
      <c r="R51" s="110"/>
      <c r="S51" s="110"/>
      <c r="T51" s="110"/>
      <c r="U51" s="110"/>
      <c r="V51" s="110"/>
      <c r="W51" s="110"/>
      <c r="X51" s="110"/>
      <c r="Y51" s="99">
        <f t="shared" si="14"/>
        <v>0</v>
      </c>
    </row>
    <row r="52" spans="1:25" x14ac:dyDescent="0.3">
      <c r="A52" s="19" t="s">
        <v>405</v>
      </c>
      <c r="B52" s="50">
        <f>B45</f>
        <v>0</v>
      </c>
      <c r="C52" s="50">
        <f t="shared" ref="C52:J53" si="16">B52+C45</f>
        <v>0</v>
      </c>
      <c r="D52" s="50">
        <f t="shared" si="16"/>
        <v>0</v>
      </c>
      <c r="E52" s="50">
        <f t="shared" si="16"/>
        <v>0</v>
      </c>
      <c r="F52" s="50">
        <f t="shared" si="16"/>
        <v>0</v>
      </c>
      <c r="G52" s="50">
        <f t="shared" si="16"/>
        <v>0</v>
      </c>
      <c r="H52" s="50">
        <f t="shared" si="16"/>
        <v>0</v>
      </c>
      <c r="I52" s="50">
        <f t="shared" si="16"/>
        <v>0</v>
      </c>
      <c r="J52" s="50">
        <f t="shared" si="16"/>
        <v>0</v>
      </c>
      <c r="K52" s="1"/>
      <c r="O52" s="113" t="s">
        <v>417</v>
      </c>
      <c r="P52" s="110"/>
      <c r="Q52" s="110"/>
      <c r="R52" s="110"/>
      <c r="S52" s="110"/>
      <c r="T52" s="110"/>
      <c r="U52" s="110"/>
      <c r="V52" s="110"/>
      <c r="W52" s="110"/>
      <c r="X52" s="110"/>
      <c r="Y52" s="99">
        <f t="shared" si="14"/>
        <v>0</v>
      </c>
    </row>
    <row r="53" spans="1:25" x14ac:dyDescent="0.3">
      <c r="A53" s="19" t="s">
        <v>406</v>
      </c>
      <c r="B53" s="50">
        <f>B46</f>
        <v>0</v>
      </c>
      <c r="C53" s="50">
        <f t="shared" si="16"/>
        <v>0</v>
      </c>
      <c r="D53" s="50">
        <f t="shared" si="16"/>
        <v>0</v>
      </c>
      <c r="E53" s="50">
        <f t="shared" si="16"/>
        <v>0</v>
      </c>
      <c r="F53" s="50">
        <f t="shared" si="16"/>
        <v>0</v>
      </c>
      <c r="G53" s="50">
        <f t="shared" si="16"/>
        <v>0</v>
      </c>
      <c r="H53" s="50">
        <f t="shared" si="16"/>
        <v>0</v>
      </c>
      <c r="I53" s="50">
        <f t="shared" si="16"/>
        <v>0</v>
      </c>
      <c r="J53" s="50">
        <f t="shared" si="16"/>
        <v>0</v>
      </c>
      <c r="O53" s="19" t="s">
        <v>418</v>
      </c>
      <c r="P53" s="99">
        <f t="shared" ref="P53:X53" si="17">SUM(P47:P52)</f>
        <v>0</v>
      </c>
      <c r="Q53" s="99">
        <f t="shared" si="17"/>
        <v>0</v>
      </c>
      <c r="R53" s="99">
        <f t="shared" si="17"/>
        <v>0</v>
      </c>
      <c r="S53" s="99">
        <f t="shared" si="17"/>
        <v>0</v>
      </c>
      <c r="T53" s="99">
        <f t="shared" si="17"/>
        <v>0</v>
      </c>
      <c r="U53" s="99">
        <f t="shared" si="17"/>
        <v>0</v>
      </c>
      <c r="V53" s="99">
        <f t="shared" si="17"/>
        <v>0</v>
      </c>
      <c r="W53" s="99">
        <f t="shared" si="17"/>
        <v>0</v>
      </c>
      <c r="X53" s="99">
        <f t="shared" si="17"/>
        <v>0</v>
      </c>
      <c r="Y53" s="99">
        <f t="shared" si="14"/>
        <v>0</v>
      </c>
    </row>
    <row r="63" spans="1:25" x14ac:dyDescent="0.3">
      <c r="A63" s="82"/>
    </row>
    <row r="64" spans="1:25" x14ac:dyDescent="0.3">
      <c r="A64" s="86"/>
    </row>
    <row r="65" spans="1:1" x14ac:dyDescent="0.3">
      <c r="A65" s="14"/>
    </row>
    <row r="66" spans="1:1" x14ac:dyDescent="0.3">
      <c r="A66" s="13"/>
    </row>
    <row r="67" spans="1:1" x14ac:dyDescent="0.3">
      <c r="A67" s="13"/>
    </row>
  </sheetData>
  <sheetProtection selectLockedCells="1"/>
  <mergeCells count="5">
    <mergeCell ref="O36:V36"/>
    <mergeCell ref="O20:Y20"/>
    <mergeCell ref="O34:Y34"/>
    <mergeCell ref="A1:K1"/>
    <mergeCell ref="A2:K2"/>
  </mergeCells>
  <conditionalFormatting sqref="A1:Y67">
    <cfRule type="expression" dxfId="29" priority="100">
      <formula>ISERROR(A1)</formula>
    </cfRule>
  </conditionalFormatting>
  <conditionalFormatting sqref="B36:I36">
    <cfRule type="cellIs" dxfId="28" priority="1" operator="greaterThan">
      <formula>$B$19</formula>
    </cfRule>
  </conditionalFormatting>
  <conditionalFormatting sqref="K30">
    <cfRule type="cellIs" dxfId="27" priority="2" operator="equal">
      <formula>$B$5</formula>
    </cfRule>
  </conditionalFormatting>
  <dataValidations count="5">
    <dataValidation type="decimal" operator="greaterThanOrEqual" allowBlank="1" showInputMessage="1" showErrorMessage="1" errorTitle="Amount required" error="Enter an amount in EUR, 0 or more." promptTitle="Payments to projects (EUR)" prompt="Enter the payments to projects per call and year in EUR (2028 to 2035 and after closure), for example copied from the mini calculator on the right. They feed the outflows of this sheet." sqref="P24:X29" xr:uid="{00000000-0002-0000-0800-000000000000}">
      <formula1>0</formula1>
    </dataValidation>
    <dataValidation type="decimal" allowBlank="1" showInputMessage="1" showErrorMessage="1" errorTitle="Percentage required" error="Enter a percentage between 0% and 100%." promptTitle="Spending profile (%)" prompt="Enter the share of the project budget spent in each half year of a regular 36 month project. The six values must add up to 100%." sqref="P38:U38" xr:uid="{00000000-0002-0000-0800-000001000000}">
      <formula1>0</formula1>
      <formula2>1</formula2>
    </dataValidation>
    <dataValidation type="decimal" operator="greaterThanOrEqual" allowBlank="1" showInputMessage="1" showErrorMessage="1" errorTitle="Number required" error="Enter a number, 0 or more." promptTitle="Number of projects per call" prompt="Enter the number of projects expected per call." sqref="P42:P44 R42:R44" xr:uid="{00000000-0002-0000-0800-000002000000}">
      <formula1>0</formula1>
    </dataValidation>
    <dataValidation type="decimal" operator="greaterThanOrEqual" allowBlank="1" showInputMessage="1" showErrorMessage="1" errorTitle="Amount required" error="Enter an amount in EUR, 0 or more." promptTitle="Average project budget (EUR)" prompt="Enter the average EU budget of a project in EUR." sqref="T42" xr:uid="{00000000-0002-0000-0800-000003000000}">
      <formula1>0</formula1>
    </dataValidation>
    <dataValidation allowBlank="1" showInputMessage="1" promptTitle="Call or project group" prompt="Optional. Name of the call or group of projects. The name is shown in the table on the left." sqref="O24:O29" xr:uid="{00000000-0002-0000-0700-000004000000}"/>
  </dataValidation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E1CA6-53BD-4EEA-BAE4-AB4A8D7CB4DF}">
  <dimension ref="A1:Y67"/>
  <sheetViews>
    <sheetView topLeftCell="A12" zoomScaleNormal="100" workbookViewId="0">
      <selection activeCell="AD27" sqref="AD27"/>
    </sheetView>
  </sheetViews>
  <sheetFormatPr defaultRowHeight="15.05" x14ac:dyDescent="0.3"/>
  <cols>
    <col min="1" max="1" width="44" customWidth="1"/>
    <col min="2" max="2" width="14.5546875" customWidth="1"/>
    <col min="3" max="3" width="13.5546875" customWidth="1"/>
    <col min="4" max="4" width="13.109375" customWidth="1"/>
    <col min="5" max="5" width="14.88671875" customWidth="1"/>
    <col min="6" max="6" width="14" customWidth="1"/>
    <col min="7" max="7" width="15.109375" customWidth="1"/>
    <col min="8" max="8" width="13.44140625" customWidth="1"/>
    <col min="9" max="9" width="14.44140625" customWidth="1"/>
    <col min="10" max="10" width="14.88671875" customWidth="1"/>
    <col min="11" max="11" width="14.109375" customWidth="1"/>
    <col min="15" max="15" width="19.5546875" bestFit="1" customWidth="1"/>
    <col min="20" max="20" width="14" bestFit="1" customWidth="1"/>
    <col min="25" max="25" width="10.109375" bestFit="1" customWidth="1"/>
    <col min="26" max="26" width="13.5546875" bestFit="1" customWidth="1"/>
    <col min="27" max="27" width="10.109375" bestFit="1" customWidth="1"/>
  </cols>
  <sheetData>
    <row r="1" spans="1:14" ht="18" x14ac:dyDescent="0.3">
      <c r="A1" s="157" t="s">
        <v>403</v>
      </c>
      <c r="B1" s="157"/>
      <c r="C1" s="157"/>
      <c r="D1" s="157"/>
      <c r="E1" s="157"/>
      <c r="F1" s="157"/>
      <c r="G1" s="157"/>
      <c r="H1" s="157"/>
      <c r="I1" s="157"/>
      <c r="J1" s="157"/>
      <c r="K1" s="157"/>
    </row>
    <row r="2" spans="1:14" ht="18" x14ac:dyDescent="0.3">
      <c r="A2" s="157" t="s">
        <v>407</v>
      </c>
      <c r="B2" s="157"/>
      <c r="C2" s="157"/>
      <c r="D2" s="157"/>
      <c r="E2" s="157"/>
      <c r="F2" s="157"/>
      <c r="G2" s="157"/>
      <c r="H2" s="157"/>
      <c r="I2" s="157"/>
      <c r="J2" s="157"/>
      <c r="K2" s="157"/>
    </row>
    <row r="3" spans="1:14" ht="14.4" x14ac:dyDescent="0.3">
      <c r="A3" s="5"/>
    </row>
    <row r="4" spans="1:14" ht="14.4" x14ac:dyDescent="0.3">
      <c r="B4" s="6" t="s">
        <v>408</v>
      </c>
      <c r="C4" s="6" t="s">
        <v>297</v>
      </c>
    </row>
    <row r="5" spans="1:14" ht="14.4" x14ac:dyDescent="0.3">
      <c r="A5" s="6" t="str">
        <f>'pay out values'!B28</f>
        <v>Measure 2</v>
      </c>
      <c r="B5" s="50">
        <f>'pay out values'!D28</f>
        <v>0</v>
      </c>
      <c r="C5" s="102">
        <f>'pay out values'!C28</f>
        <v>0</v>
      </c>
      <c r="K5" s="3"/>
    </row>
    <row r="6" spans="1:14" ht="14.4" x14ac:dyDescent="0.3">
      <c r="C6" s="3"/>
      <c r="D6" s="3"/>
      <c r="E6" s="87"/>
      <c r="F6" s="3"/>
      <c r="K6" s="3"/>
      <c r="N6" s="13"/>
    </row>
    <row r="7" spans="1:14" x14ac:dyDescent="0.3">
      <c r="A7" s="69" t="s">
        <v>368</v>
      </c>
      <c r="B7" s="83" t="s">
        <v>369</v>
      </c>
      <c r="C7" s="84" t="s">
        <v>370</v>
      </c>
      <c r="D7" s="3"/>
      <c r="E7" s="87"/>
      <c r="F7" s="3"/>
      <c r="K7" s="3"/>
      <c r="N7" s="13"/>
    </row>
    <row r="8" spans="1:14" ht="14.4" x14ac:dyDescent="0.3">
      <c r="A8" s="19" t="s">
        <v>371</v>
      </c>
      <c r="B8" s="50">
        <f>$B$5*C8</f>
        <v>0</v>
      </c>
      <c r="C8" s="102">
        <f>'N+1 '!J15</f>
        <v>0.12</v>
      </c>
      <c r="D8" s="3"/>
      <c r="E8" s="87"/>
      <c r="F8" s="3"/>
      <c r="K8" s="3"/>
    </row>
    <row r="9" spans="1:14" ht="14.4" x14ac:dyDescent="0.3">
      <c r="A9" s="19" t="s">
        <v>372</v>
      </c>
      <c r="B9" s="50">
        <f>$B$5*C9</f>
        <v>0</v>
      </c>
      <c r="C9" s="102">
        <f>1-C8</f>
        <v>0.88</v>
      </c>
      <c r="D9" s="3"/>
      <c r="E9" s="87"/>
      <c r="F9" s="3"/>
      <c r="K9" s="3"/>
    </row>
    <row r="10" spans="1:14" x14ac:dyDescent="0.3">
      <c r="A10" s="19" t="s">
        <v>286</v>
      </c>
      <c r="B10" s="50">
        <f>SUM(B8:B9)</f>
        <v>0</v>
      </c>
      <c r="C10" s="102">
        <f>SUM(C8:C9)</f>
        <v>1</v>
      </c>
      <c r="D10" s="3"/>
      <c r="E10" s="87"/>
      <c r="F10" s="3"/>
      <c r="K10" s="3"/>
    </row>
    <row r="11" spans="1:14" ht="14.4" x14ac:dyDescent="0.3">
      <c r="D11" s="3"/>
      <c r="E11" s="87"/>
      <c r="F11" s="3"/>
      <c r="K11" s="3"/>
    </row>
    <row r="12" spans="1:14" x14ac:dyDescent="0.3">
      <c r="A12" s="69" t="s">
        <v>373</v>
      </c>
      <c r="B12" s="83" t="s">
        <v>369</v>
      </c>
      <c r="C12" s="84" t="s">
        <v>370</v>
      </c>
      <c r="D12" s="3"/>
      <c r="E12" s="87"/>
      <c r="F12" s="3"/>
      <c r="K12" s="3"/>
    </row>
    <row r="13" spans="1:14" ht="14.4" x14ac:dyDescent="0.3">
      <c r="A13" s="19" t="s">
        <v>371</v>
      </c>
      <c r="B13" s="50">
        <f>$B$5*C13</f>
        <v>0</v>
      </c>
      <c r="C13" s="102">
        <f>C8</f>
        <v>0.12</v>
      </c>
      <c r="D13" s="3"/>
      <c r="E13" s="87"/>
      <c r="F13" s="3"/>
      <c r="K13" s="3"/>
    </row>
    <row r="14" spans="1:14" ht="14.4" x14ac:dyDescent="0.3">
      <c r="A14" s="19" t="s">
        <v>372</v>
      </c>
      <c r="B14" s="50">
        <f>$B$5*C14</f>
        <v>0</v>
      </c>
      <c r="C14" s="102">
        <f>C19-C8</f>
        <v>0.83</v>
      </c>
      <c r="D14" s="3"/>
      <c r="E14" s="87"/>
      <c r="F14" s="3"/>
      <c r="K14" s="3"/>
    </row>
    <row r="15" spans="1:14" ht="14.4" x14ac:dyDescent="0.3">
      <c r="A15" s="19" t="s">
        <v>375</v>
      </c>
      <c r="B15" s="50">
        <f>$B$5*C15</f>
        <v>0</v>
      </c>
      <c r="C15" s="102">
        <f>1-C19</f>
        <v>5.0000000000000044E-2</v>
      </c>
      <c r="D15" s="3"/>
      <c r="E15" s="87"/>
      <c r="K15" s="3"/>
      <c r="M15" s="3"/>
    </row>
    <row r="16" spans="1:14" x14ac:dyDescent="0.3">
      <c r="A16" s="19" t="s">
        <v>286</v>
      </c>
      <c r="B16" s="50">
        <f>SUM(B13:B15)</f>
        <v>0</v>
      </c>
      <c r="C16" s="102">
        <f>SUM(C13:C15)</f>
        <v>1</v>
      </c>
      <c r="D16" s="3"/>
      <c r="E16" s="87"/>
      <c r="F16" s="3"/>
      <c r="K16" s="3"/>
    </row>
    <row r="17" spans="1:25" ht="14.4" x14ac:dyDescent="0.3">
      <c r="E17" s="87"/>
      <c r="F17" s="3"/>
      <c r="K17" s="3"/>
      <c r="N17" s="13"/>
    </row>
    <row r="18" spans="1:25" x14ac:dyDescent="0.3">
      <c r="A18" s="83" t="s">
        <v>376</v>
      </c>
      <c r="B18" s="83" t="s">
        <v>369</v>
      </c>
      <c r="C18" s="84" t="s">
        <v>370</v>
      </c>
      <c r="D18" s="70" t="s">
        <v>377</v>
      </c>
      <c r="E18" s="87"/>
      <c r="F18" s="3"/>
      <c r="K18" s="3"/>
      <c r="N18" s="13"/>
    </row>
    <row r="19" spans="1:25" ht="14.4" x14ac:dyDescent="0.3">
      <c r="A19" s="19" t="str">
        <f>"Payment ceiling at "&amp;TEXT(C19,"0%")</f>
        <v>Payment ceiling at 95%</v>
      </c>
      <c r="B19" s="50">
        <f>B5*C19</f>
        <v>0</v>
      </c>
      <c r="C19" s="103">
        <f>Inflows!C22</f>
        <v>0.95</v>
      </c>
      <c r="D19" s="50">
        <f>B5-B19</f>
        <v>0</v>
      </c>
      <c r="E19" s="87"/>
      <c r="F19" s="3"/>
      <c r="K19" s="3"/>
      <c r="N19" s="13"/>
    </row>
    <row r="20" spans="1:25" ht="18" x14ac:dyDescent="0.3">
      <c r="A20" s="19" t="s">
        <v>379</v>
      </c>
      <c r="B20" s="98"/>
      <c r="C20" s="103">
        <f>C8</f>
        <v>0.12</v>
      </c>
      <c r="D20" s="50">
        <f>B8</f>
        <v>0</v>
      </c>
      <c r="E20" s="87"/>
      <c r="K20" s="3"/>
      <c r="N20" s="13"/>
      <c r="O20" s="157" t="s">
        <v>409</v>
      </c>
      <c r="P20" s="157"/>
      <c r="Q20" s="157"/>
      <c r="R20" s="157"/>
      <c r="S20" s="157"/>
      <c r="T20" s="157"/>
      <c r="U20" s="157"/>
      <c r="V20" s="157"/>
      <c r="W20" s="157"/>
      <c r="X20" s="157"/>
      <c r="Y20" s="157"/>
    </row>
    <row r="21" spans="1:25" ht="14.4" x14ac:dyDescent="0.3">
      <c r="A21" s="19" t="s">
        <v>380</v>
      </c>
      <c r="B21" s="50">
        <f>B14</f>
        <v>0</v>
      </c>
      <c r="C21" s="103">
        <f>C19-C20</f>
        <v>0.83</v>
      </c>
      <c r="D21" s="50">
        <f>SUM(D19:D20)</f>
        <v>0</v>
      </c>
      <c r="E21" s="87"/>
      <c r="F21" s="3"/>
      <c r="K21" s="3"/>
      <c r="N21" s="13"/>
    </row>
    <row r="22" spans="1:25" ht="14.4" x14ac:dyDescent="0.3">
      <c r="K22" s="3"/>
      <c r="M22" s="3"/>
      <c r="O22" t="s">
        <v>410</v>
      </c>
    </row>
    <row r="23" spans="1:25" ht="14.4" x14ac:dyDescent="0.3">
      <c r="A23" s="83" t="s">
        <v>411</v>
      </c>
      <c r="B23" s="70">
        <v>2028</v>
      </c>
      <c r="C23" s="70">
        <v>2029</v>
      </c>
      <c r="D23" s="70">
        <v>2030</v>
      </c>
      <c r="E23" s="70">
        <v>2031</v>
      </c>
      <c r="F23" s="70">
        <v>2032</v>
      </c>
      <c r="G23" s="70">
        <v>2033</v>
      </c>
      <c r="H23" s="70">
        <v>2034</v>
      </c>
      <c r="I23" s="70">
        <v>2035</v>
      </c>
      <c r="J23" s="70" t="s">
        <v>362</v>
      </c>
      <c r="K23" s="70" t="s">
        <v>319</v>
      </c>
      <c r="O23" s="83" t="s">
        <v>409</v>
      </c>
      <c r="P23" s="70">
        <v>2028</v>
      </c>
      <c r="Q23" s="70">
        <v>2029</v>
      </c>
      <c r="R23" s="70">
        <v>2030</v>
      </c>
      <c r="S23" s="70">
        <v>2031</v>
      </c>
      <c r="T23" s="70">
        <v>2032</v>
      </c>
      <c r="U23" s="70">
        <v>2033</v>
      </c>
      <c r="V23" s="70">
        <v>2034</v>
      </c>
      <c r="W23" s="70">
        <v>2035</v>
      </c>
      <c r="X23" s="70" t="s">
        <v>362</v>
      </c>
      <c r="Y23" s="70" t="s">
        <v>319</v>
      </c>
    </row>
    <row r="24" spans="1:25" ht="14.4" x14ac:dyDescent="0.3">
      <c r="A24" s="19" t="str">
        <f t="shared" ref="A24:J29" si="0">O24</f>
        <v>Call 1 projects</v>
      </c>
      <c r="B24" s="50">
        <f t="shared" si="0"/>
        <v>0</v>
      </c>
      <c r="C24" s="50">
        <f t="shared" si="0"/>
        <v>0</v>
      </c>
      <c r="D24" s="50">
        <f t="shared" si="0"/>
        <v>0</v>
      </c>
      <c r="E24" s="50">
        <f t="shared" si="0"/>
        <v>0</v>
      </c>
      <c r="F24" s="50">
        <f t="shared" si="0"/>
        <v>0</v>
      </c>
      <c r="G24" s="50">
        <f t="shared" si="0"/>
        <v>0</v>
      </c>
      <c r="H24" s="50">
        <f t="shared" si="0"/>
        <v>0</v>
      </c>
      <c r="I24" s="50">
        <f t="shared" si="0"/>
        <v>0</v>
      </c>
      <c r="J24" s="50">
        <f t="shared" si="0"/>
        <v>0</v>
      </c>
      <c r="K24" s="64">
        <f t="shared" ref="K24:K30" si="1">SUM(B24:J24)</f>
        <v>0</v>
      </c>
      <c r="O24" s="109" t="s">
        <v>412</v>
      </c>
      <c r="P24" s="110"/>
      <c r="Q24" s="110"/>
      <c r="R24" s="110"/>
      <c r="S24" s="110"/>
      <c r="T24" s="110"/>
      <c r="U24" s="110"/>
      <c r="V24" s="110"/>
      <c r="W24" s="110"/>
      <c r="X24" s="110"/>
      <c r="Y24" s="99">
        <f t="shared" ref="Y24:Y30" si="2">SUM(P24:X24)</f>
        <v>0</v>
      </c>
    </row>
    <row r="25" spans="1:25" ht="14.4" x14ac:dyDescent="0.3">
      <c r="A25" s="19" t="str">
        <f t="shared" si="0"/>
        <v>Call 2 projects</v>
      </c>
      <c r="B25" s="50">
        <f t="shared" si="0"/>
        <v>0</v>
      </c>
      <c r="C25" s="50">
        <f t="shared" si="0"/>
        <v>0</v>
      </c>
      <c r="D25" s="50">
        <f t="shared" si="0"/>
        <v>0</v>
      </c>
      <c r="E25" s="50">
        <f t="shared" si="0"/>
        <v>0</v>
      </c>
      <c r="F25" s="50">
        <f t="shared" si="0"/>
        <v>0</v>
      </c>
      <c r="G25" s="50">
        <f t="shared" si="0"/>
        <v>0</v>
      </c>
      <c r="H25" s="50">
        <f t="shared" si="0"/>
        <v>0</v>
      </c>
      <c r="I25" s="50">
        <f t="shared" si="0"/>
        <v>0</v>
      </c>
      <c r="J25" s="50">
        <f t="shared" si="0"/>
        <v>0</v>
      </c>
      <c r="K25" s="64">
        <f t="shared" si="1"/>
        <v>0</v>
      </c>
      <c r="O25" s="109" t="s">
        <v>413</v>
      </c>
      <c r="P25" s="110"/>
      <c r="Q25" s="110"/>
      <c r="R25" s="110"/>
      <c r="S25" s="110"/>
      <c r="T25" s="110"/>
      <c r="U25" s="110"/>
      <c r="V25" s="110"/>
      <c r="W25" s="110"/>
      <c r="X25" s="110"/>
      <c r="Y25" s="99">
        <f t="shared" si="2"/>
        <v>0</v>
      </c>
    </row>
    <row r="26" spans="1:25" ht="14.4" x14ac:dyDescent="0.3">
      <c r="A26" s="19" t="str">
        <f t="shared" si="0"/>
        <v>Call 3 projects</v>
      </c>
      <c r="B26" s="50">
        <f t="shared" si="0"/>
        <v>0</v>
      </c>
      <c r="C26" s="50">
        <f t="shared" si="0"/>
        <v>0</v>
      </c>
      <c r="D26" s="50">
        <f t="shared" si="0"/>
        <v>0</v>
      </c>
      <c r="E26" s="50">
        <f t="shared" si="0"/>
        <v>0</v>
      </c>
      <c r="F26" s="50">
        <f t="shared" si="0"/>
        <v>0</v>
      </c>
      <c r="G26" s="50">
        <f t="shared" si="0"/>
        <v>0</v>
      </c>
      <c r="H26" s="50">
        <f t="shared" si="0"/>
        <v>0</v>
      </c>
      <c r="I26" s="50">
        <f t="shared" si="0"/>
        <v>0</v>
      </c>
      <c r="J26" s="50">
        <f t="shared" si="0"/>
        <v>0</v>
      </c>
      <c r="K26" s="64">
        <f t="shared" si="1"/>
        <v>0</v>
      </c>
      <c r="O26" s="109" t="s">
        <v>414</v>
      </c>
      <c r="P26" s="110"/>
      <c r="Q26" s="110"/>
      <c r="R26" s="110"/>
      <c r="S26" s="110"/>
      <c r="T26" s="110"/>
      <c r="U26" s="110"/>
      <c r="V26" s="110"/>
      <c r="W26" s="110"/>
      <c r="X26" s="110"/>
      <c r="Y26" s="99">
        <f t="shared" si="2"/>
        <v>0</v>
      </c>
    </row>
    <row r="27" spans="1:25" ht="14.4" x14ac:dyDescent="0.3">
      <c r="A27" s="19" t="str">
        <f t="shared" si="0"/>
        <v>Call 4  projects</v>
      </c>
      <c r="B27" s="50">
        <f t="shared" si="0"/>
        <v>0</v>
      </c>
      <c r="C27" s="50">
        <f t="shared" si="0"/>
        <v>0</v>
      </c>
      <c r="D27" s="50">
        <f t="shared" si="0"/>
        <v>0</v>
      </c>
      <c r="E27" s="50">
        <f t="shared" si="0"/>
        <v>0</v>
      </c>
      <c r="F27" s="50">
        <f t="shared" si="0"/>
        <v>0</v>
      </c>
      <c r="G27" s="50">
        <f t="shared" si="0"/>
        <v>0</v>
      </c>
      <c r="H27" s="50">
        <f t="shared" si="0"/>
        <v>0</v>
      </c>
      <c r="I27" s="50">
        <f t="shared" si="0"/>
        <v>0</v>
      </c>
      <c r="J27" s="50">
        <f t="shared" si="0"/>
        <v>0</v>
      </c>
      <c r="K27" s="64">
        <f t="shared" si="1"/>
        <v>0</v>
      </c>
      <c r="O27" s="109" t="s">
        <v>415</v>
      </c>
      <c r="P27" s="110"/>
      <c r="Q27" s="110"/>
      <c r="R27" s="110"/>
      <c r="S27" s="110"/>
      <c r="T27" s="110"/>
      <c r="U27" s="110"/>
      <c r="V27" s="110"/>
      <c r="W27" s="110"/>
      <c r="X27" s="110"/>
      <c r="Y27" s="99">
        <f t="shared" si="2"/>
        <v>0</v>
      </c>
    </row>
    <row r="28" spans="1:25" ht="14.4" x14ac:dyDescent="0.3">
      <c r="A28" s="19" t="str">
        <f t="shared" si="0"/>
        <v>Call 5  projects</v>
      </c>
      <c r="B28" s="50">
        <f t="shared" si="0"/>
        <v>0</v>
      </c>
      <c r="C28" s="50">
        <f t="shared" si="0"/>
        <v>0</v>
      </c>
      <c r="D28" s="50">
        <f t="shared" si="0"/>
        <v>0</v>
      </c>
      <c r="E28" s="50">
        <f t="shared" si="0"/>
        <v>0</v>
      </c>
      <c r="F28" s="50">
        <f t="shared" si="0"/>
        <v>0</v>
      </c>
      <c r="G28" s="50">
        <f t="shared" si="0"/>
        <v>0</v>
      </c>
      <c r="H28" s="50">
        <f t="shared" si="0"/>
        <v>0</v>
      </c>
      <c r="I28" s="50">
        <f t="shared" si="0"/>
        <v>0</v>
      </c>
      <c r="J28" s="50">
        <f t="shared" si="0"/>
        <v>0</v>
      </c>
      <c r="K28" s="64">
        <f t="shared" si="1"/>
        <v>0</v>
      </c>
      <c r="O28" s="109" t="s">
        <v>416</v>
      </c>
      <c r="P28" s="110"/>
      <c r="Q28" s="110"/>
      <c r="R28" s="110"/>
      <c r="S28" s="110"/>
      <c r="T28" s="110"/>
      <c r="U28" s="110"/>
      <c r="V28" s="110"/>
      <c r="W28" s="110"/>
      <c r="X28" s="110"/>
      <c r="Y28" s="99">
        <f t="shared" si="2"/>
        <v>0</v>
      </c>
    </row>
    <row r="29" spans="1:25" ht="14.4" x14ac:dyDescent="0.3">
      <c r="A29" s="19" t="str">
        <f t="shared" si="0"/>
        <v>Call 6 projects</v>
      </c>
      <c r="B29" s="50">
        <f t="shared" si="0"/>
        <v>0</v>
      </c>
      <c r="C29" s="50">
        <f t="shared" si="0"/>
        <v>0</v>
      </c>
      <c r="D29" s="50">
        <f t="shared" si="0"/>
        <v>0</v>
      </c>
      <c r="E29" s="50">
        <f t="shared" si="0"/>
        <v>0</v>
      </c>
      <c r="F29" s="50">
        <f t="shared" si="0"/>
        <v>0</v>
      </c>
      <c r="G29" s="50">
        <f t="shared" si="0"/>
        <v>0</v>
      </c>
      <c r="H29" s="50">
        <f t="shared" si="0"/>
        <v>0</v>
      </c>
      <c r="I29" s="50">
        <f t="shared" si="0"/>
        <v>0</v>
      </c>
      <c r="J29" s="50">
        <f t="shared" si="0"/>
        <v>0</v>
      </c>
      <c r="K29" s="64">
        <f t="shared" si="1"/>
        <v>0</v>
      </c>
      <c r="O29" s="109" t="s">
        <v>417</v>
      </c>
      <c r="P29" s="110"/>
      <c r="Q29" s="110"/>
      <c r="R29" s="110"/>
      <c r="S29" s="110"/>
      <c r="T29" s="110"/>
      <c r="U29" s="110"/>
      <c r="V29" s="110"/>
      <c r="W29" s="110"/>
      <c r="X29" s="110"/>
      <c r="Y29" s="99">
        <f t="shared" si="2"/>
        <v>0</v>
      </c>
    </row>
    <row r="30" spans="1:25" ht="14.4" x14ac:dyDescent="0.3">
      <c r="A30" s="19" t="s">
        <v>447</v>
      </c>
      <c r="B30" s="50">
        <f t="shared" ref="B30:J30" si="3">SUM(B24:B29)</f>
        <v>0</v>
      </c>
      <c r="C30" s="64">
        <f t="shared" si="3"/>
        <v>0</v>
      </c>
      <c r="D30" s="64">
        <f t="shared" si="3"/>
        <v>0</v>
      </c>
      <c r="E30" s="64">
        <f t="shared" si="3"/>
        <v>0</v>
      </c>
      <c r="F30" s="64">
        <f t="shared" si="3"/>
        <v>0</v>
      </c>
      <c r="G30" s="64">
        <f t="shared" si="3"/>
        <v>0</v>
      </c>
      <c r="H30" s="64">
        <f t="shared" si="3"/>
        <v>0</v>
      </c>
      <c r="I30" s="64">
        <f t="shared" si="3"/>
        <v>0</v>
      </c>
      <c r="J30" s="64">
        <f t="shared" si="3"/>
        <v>0</v>
      </c>
      <c r="K30" s="64">
        <f t="shared" si="1"/>
        <v>0</v>
      </c>
      <c r="O30" s="19" t="s">
        <v>447</v>
      </c>
      <c r="P30" s="99">
        <f t="shared" ref="P30:X30" si="4">SUM(P24:P29)</f>
        <v>0</v>
      </c>
      <c r="Q30" s="99">
        <f t="shared" si="4"/>
        <v>0</v>
      </c>
      <c r="R30" s="99">
        <f t="shared" si="4"/>
        <v>0</v>
      </c>
      <c r="S30" s="99">
        <f t="shared" si="4"/>
        <v>0</v>
      </c>
      <c r="T30" s="99">
        <f t="shared" si="4"/>
        <v>0</v>
      </c>
      <c r="U30" s="99">
        <f t="shared" si="4"/>
        <v>0</v>
      </c>
      <c r="V30" s="99">
        <f t="shared" si="4"/>
        <v>0</v>
      </c>
      <c r="W30" s="99">
        <f t="shared" si="4"/>
        <v>0</v>
      </c>
      <c r="X30" s="99">
        <f t="shared" si="4"/>
        <v>0</v>
      </c>
      <c r="Y30" s="99">
        <f t="shared" si="2"/>
        <v>0</v>
      </c>
    </row>
    <row r="32" spans="1:25" ht="14.4" x14ac:dyDescent="0.3">
      <c r="A32" s="83" t="s">
        <v>419</v>
      </c>
      <c r="B32" s="70">
        <v>2028</v>
      </c>
      <c r="C32" s="70">
        <v>2029</v>
      </c>
      <c r="D32" s="70">
        <v>2030</v>
      </c>
      <c r="E32" s="70">
        <v>2031</v>
      </c>
      <c r="F32" s="70">
        <v>2032</v>
      </c>
      <c r="G32" s="70">
        <v>2033</v>
      </c>
      <c r="H32" s="70">
        <v>2034</v>
      </c>
      <c r="I32" s="70">
        <v>2035</v>
      </c>
      <c r="J32" s="70" t="s">
        <v>362</v>
      </c>
      <c r="K32" s="70" t="s">
        <v>319</v>
      </c>
      <c r="L32" s="11"/>
    </row>
    <row r="33" spans="1:25" ht="14.4" x14ac:dyDescent="0.3">
      <c r="A33" s="19" t="s">
        <v>420</v>
      </c>
      <c r="B33" s="50">
        <f>IF(Inflows!$J$7=0,0,Inflows!B28/Inflows!$J$7*$B$5)</f>
        <v>0</v>
      </c>
      <c r="C33" s="50">
        <f>IF(Inflows!$J$7=0,0,Inflows!C28/Inflows!$J$7*$B$5)</f>
        <v>0</v>
      </c>
      <c r="D33" s="50">
        <f>IF(Inflows!$J$7=0,0,Inflows!D28/Inflows!$J$7*$B$5)</f>
        <v>0</v>
      </c>
      <c r="E33" s="50">
        <f>IF(Inflows!$J$7=0,0,Inflows!E28/Inflows!$J$7*$B$5)</f>
        <v>0</v>
      </c>
      <c r="F33" s="50">
        <f>IF(Inflows!$J$7=0,0,Inflows!F28/Inflows!$J$7*$B$5)</f>
        <v>0</v>
      </c>
      <c r="G33" s="50">
        <f>IF(Inflows!$J$7=0,0,Inflows!G28/Inflows!$J$7*$B$5)</f>
        <v>0</v>
      </c>
      <c r="H33" s="50">
        <f>IF(Inflows!$J$7=0,0,Inflows!H28/Inflows!$J$7*$B$5)</f>
        <v>0</v>
      </c>
      <c r="I33" s="50">
        <f>IF(Inflows!$J$7=0,0,Inflows!I28/Inflows!$J$7*$B$5)</f>
        <v>0</v>
      </c>
      <c r="J33" s="88"/>
      <c r="K33" s="64">
        <f>SUM(B33:J33)</f>
        <v>0</v>
      </c>
      <c r="L33" s="1"/>
    </row>
    <row r="34" spans="1:25" ht="18" x14ac:dyDescent="0.3">
      <c r="A34" s="19" t="s">
        <v>383</v>
      </c>
      <c r="B34" s="50">
        <f>'pay out values'!P62</f>
        <v>0</v>
      </c>
      <c r="C34" s="50">
        <f>'pay out values'!Q62</f>
        <v>0</v>
      </c>
      <c r="D34" s="50">
        <f>'pay out values'!R62</f>
        <v>0</v>
      </c>
      <c r="E34" s="50">
        <f>'pay out values'!S62</f>
        <v>0</v>
      </c>
      <c r="F34" s="50">
        <f>'pay out values'!T62</f>
        <v>0</v>
      </c>
      <c r="G34" s="50">
        <f>'pay out values'!U62</f>
        <v>0</v>
      </c>
      <c r="H34" s="50">
        <f>'pay out values'!V62</f>
        <v>0</v>
      </c>
      <c r="I34" s="50">
        <f>'pay out values'!W62</f>
        <v>0</v>
      </c>
      <c r="J34" s="88"/>
      <c r="K34" s="64">
        <f>SUM(B34:J34)</f>
        <v>0</v>
      </c>
      <c r="O34" s="157" t="s">
        <v>421</v>
      </c>
      <c r="P34" s="157"/>
      <c r="Q34" s="157"/>
      <c r="R34" s="157"/>
      <c r="S34" s="157"/>
      <c r="T34" s="157"/>
      <c r="U34" s="157"/>
      <c r="V34" s="157"/>
      <c r="W34" s="157"/>
      <c r="X34" s="157"/>
      <c r="Y34" s="157"/>
    </row>
    <row r="35" spans="1:25" ht="14.4" x14ac:dyDescent="0.3">
      <c r="A35" s="19" t="s">
        <v>384</v>
      </c>
      <c r="B35" s="50">
        <f>B34</f>
        <v>0</v>
      </c>
      <c r="C35" s="50">
        <f t="shared" ref="C35:I35" si="5">B35+C34</f>
        <v>0</v>
      </c>
      <c r="D35" s="50">
        <f t="shared" si="5"/>
        <v>0</v>
      </c>
      <c r="E35" s="50">
        <f t="shared" si="5"/>
        <v>0</v>
      </c>
      <c r="F35" s="50">
        <f t="shared" si="5"/>
        <v>0</v>
      </c>
      <c r="G35" s="50">
        <f t="shared" si="5"/>
        <v>0</v>
      </c>
      <c r="H35" s="50">
        <f t="shared" si="5"/>
        <v>0</v>
      </c>
      <c r="I35" s="50">
        <f t="shared" si="5"/>
        <v>0</v>
      </c>
      <c r="J35" s="88"/>
      <c r="K35" s="107"/>
    </row>
    <row r="36" spans="1:25" ht="14.4" x14ac:dyDescent="0.3">
      <c r="A36" s="19" t="s">
        <v>385</v>
      </c>
      <c r="B36" s="50">
        <f>B35+SUM($B33:B33)</f>
        <v>0</v>
      </c>
      <c r="C36" s="50">
        <f>C35+SUM($B33:C33)</f>
        <v>0</v>
      </c>
      <c r="D36" s="50">
        <f>D35+SUM($B33:D33)</f>
        <v>0</v>
      </c>
      <c r="E36" s="50">
        <f>E35+SUM($B33:E33)</f>
        <v>0</v>
      </c>
      <c r="F36" s="50">
        <f>F35+SUM($B33:F33)</f>
        <v>0</v>
      </c>
      <c r="G36" s="50">
        <f>G35+SUM($B33:G33)</f>
        <v>0</v>
      </c>
      <c r="H36" s="50">
        <f>H35+SUM($B33:H33)</f>
        <v>0</v>
      </c>
      <c r="I36" s="50">
        <f>I35+SUM($B33:I33)</f>
        <v>0</v>
      </c>
      <c r="J36" s="88"/>
      <c r="K36" s="107"/>
      <c r="O36" s="177" t="s">
        <v>422</v>
      </c>
      <c r="P36" s="178"/>
      <c r="Q36" s="178"/>
      <c r="R36" s="178"/>
      <c r="S36" s="178"/>
      <c r="T36" s="178"/>
      <c r="U36" s="178"/>
      <c r="V36" s="178"/>
    </row>
    <row r="37" spans="1:25" ht="14.4" x14ac:dyDescent="0.3">
      <c r="A37" s="19" t="str">
        <f>"amount above "&amp;TEXT($C$19,"0%")&amp;" ceiling"</f>
        <v>amount above 95% ceiling</v>
      </c>
      <c r="B37" s="50">
        <f t="shared" ref="B37:I37" si="6">IF(B36&gt;$B$19, B36-$B$19, 0)</f>
        <v>0</v>
      </c>
      <c r="C37" s="50">
        <f t="shared" si="6"/>
        <v>0</v>
      </c>
      <c r="D37" s="50">
        <f t="shared" si="6"/>
        <v>0</v>
      </c>
      <c r="E37" s="50">
        <f t="shared" si="6"/>
        <v>0</v>
      </c>
      <c r="F37" s="50">
        <f t="shared" si="6"/>
        <v>0</v>
      </c>
      <c r="G37" s="50">
        <f t="shared" si="6"/>
        <v>0</v>
      </c>
      <c r="H37" s="50">
        <f t="shared" si="6"/>
        <v>0</v>
      </c>
      <c r="I37" s="50">
        <f t="shared" si="6"/>
        <v>0</v>
      </c>
      <c r="J37" s="88"/>
      <c r="K37" s="107"/>
      <c r="O37" s="83" t="s">
        <v>423</v>
      </c>
      <c r="P37" s="70" t="s">
        <v>424</v>
      </c>
      <c r="Q37" s="70" t="s">
        <v>425</v>
      </c>
      <c r="R37" s="70" t="s">
        <v>426</v>
      </c>
      <c r="S37" s="70" t="s">
        <v>427</v>
      </c>
      <c r="T37" s="70" t="s">
        <v>428</v>
      </c>
      <c r="U37" s="70" t="s">
        <v>429</v>
      </c>
      <c r="V37" s="70" t="s">
        <v>319</v>
      </c>
    </row>
    <row r="38" spans="1:25" ht="14.4" x14ac:dyDescent="0.3">
      <c r="A38" s="19" t="str">
        <f>"clearance of pre-financing AND impact of "&amp;TEXT($C$19,"0%")&amp;" ceiling"</f>
        <v>clearance of pre-financing AND impact of 95% ceiling</v>
      </c>
      <c r="B38" s="50">
        <f>MIN(B36,$B$19)-B33-B34</f>
        <v>0</v>
      </c>
      <c r="C38" s="50">
        <f t="shared" ref="C38:I38" si="7">MIN(C36,$B$19)-MIN(B36,$B$19)-C33-C34</f>
        <v>0</v>
      </c>
      <c r="D38" s="50">
        <f t="shared" si="7"/>
        <v>0</v>
      </c>
      <c r="E38" s="50">
        <f t="shared" si="7"/>
        <v>0</v>
      </c>
      <c r="F38" s="50">
        <f t="shared" si="7"/>
        <v>0</v>
      </c>
      <c r="G38" s="50">
        <f t="shared" si="7"/>
        <v>0</v>
      </c>
      <c r="H38" s="50">
        <f t="shared" si="7"/>
        <v>0</v>
      </c>
      <c r="I38" s="50">
        <f t="shared" si="7"/>
        <v>0</v>
      </c>
      <c r="J38" s="88"/>
      <c r="K38" s="64">
        <f>SUM(B38:J38)</f>
        <v>0</v>
      </c>
      <c r="O38" s="83" t="s">
        <v>430</v>
      </c>
      <c r="P38" s="111">
        <v>0.25</v>
      </c>
      <c r="Q38" s="111">
        <v>0.25</v>
      </c>
      <c r="R38" s="111">
        <v>0.1</v>
      </c>
      <c r="S38" s="111">
        <v>0.1</v>
      </c>
      <c r="T38" s="111">
        <v>0.1</v>
      </c>
      <c r="U38" s="111">
        <v>0.2</v>
      </c>
      <c r="V38" s="100">
        <f>SUM(P38:U38)</f>
        <v>1</v>
      </c>
    </row>
    <row r="39" spans="1:25" x14ac:dyDescent="0.3">
      <c r="A39" s="19" t="str">
        <f>TEXT(1-$C$19,"0%")&amp;" paid after programme closure"</f>
        <v>5% paid after programme closure</v>
      </c>
      <c r="B39" s="89"/>
      <c r="C39" s="90"/>
      <c r="D39" s="90"/>
      <c r="E39" s="90"/>
      <c r="F39" s="90"/>
      <c r="G39" s="90"/>
      <c r="H39" s="90"/>
      <c r="I39" s="91"/>
      <c r="J39" s="50">
        <f>B15</f>
        <v>0</v>
      </c>
      <c r="K39" s="64">
        <f>SUM(B39:J39)</f>
        <v>0</v>
      </c>
      <c r="O39" s="83" t="s">
        <v>431</v>
      </c>
      <c r="P39" s="95">
        <f t="shared" ref="P39:U39" si="8">P38*$T$42</f>
        <v>0</v>
      </c>
      <c r="Q39" s="95">
        <f t="shared" si="8"/>
        <v>0</v>
      </c>
      <c r="R39" s="95">
        <f t="shared" si="8"/>
        <v>0</v>
      </c>
      <c r="S39" s="95">
        <f t="shared" si="8"/>
        <v>0</v>
      </c>
      <c r="T39" s="95">
        <f t="shared" si="8"/>
        <v>0</v>
      </c>
      <c r="U39" s="95">
        <f t="shared" si="8"/>
        <v>0</v>
      </c>
      <c r="V39" s="95">
        <f>SUM(P39:U39)</f>
        <v>0</v>
      </c>
    </row>
    <row r="40" spans="1:25" x14ac:dyDescent="0.3">
      <c r="A40" s="19" t="s">
        <v>386</v>
      </c>
      <c r="B40" s="64">
        <f t="shared" ref="B40:J40" si="9">B34+B38+B39</f>
        <v>0</v>
      </c>
      <c r="C40" s="64">
        <f t="shared" si="9"/>
        <v>0</v>
      </c>
      <c r="D40" s="64">
        <f t="shared" si="9"/>
        <v>0</v>
      </c>
      <c r="E40" s="64">
        <f t="shared" si="9"/>
        <v>0</v>
      </c>
      <c r="F40" s="64">
        <f t="shared" si="9"/>
        <v>0</v>
      </c>
      <c r="G40" s="64">
        <f t="shared" si="9"/>
        <v>0</v>
      </c>
      <c r="H40" s="64">
        <f t="shared" si="9"/>
        <v>0</v>
      </c>
      <c r="I40" s="64">
        <f t="shared" si="9"/>
        <v>0</v>
      </c>
      <c r="J40" s="64">
        <f t="shared" si="9"/>
        <v>0</v>
      </c>
      <c r="K40" s="64">
        <f>SUM(B40:J40)</f>
        <v>0</v>
      </c>
      <c r="L40" s="1"/>
    </row>
    <row r="41" spans="1:25" x14ac:dyDescent="0.3">
      <c r="A41" s="19" t="s">
        <v>387</v>
      </c>
      <c r="B41" s="93">
        <f t="shared" ref="B41:I41" si="10">IF(B34=0,0,B40/B34)</f>
        <v>0</v>
      </c>
      <c r="C41" s="93">
        <f t="shared" si="10"/>
        <v>0</v>
      </c>
      <c r="D41" s="93">
        <f t="shared" si="10"/>
        <v>0</v>
      </c>
      <c r="E41" s="93">
        <f t="shared" si="10"/>
        <v>0</v>
      </c>
      <c r="F41" s="93">
        <f t="shared" si="10"/>
        <v>0</v>
      </c>
      <c r="G41" s="93">
        <f t="shared" si="10"/>
        <v>0</v>
      </c>
      <c r="H41" s="93">
        <f t="shared" si="10"/>
        <v>0</v>
      </c>
      <c r="I41" s="93">
        <f t="shared" si="10"/>
        <v>0</v>
      </c>
      <c r="J41" s="98"/>
      <c r="K41" s="98"/>
      <c r="L41" s="1"/>
      <c r="P41" s="13" t="s">
        <v>432</v>
      </c>
      <c r="T41" t="s">
        <v>433</v>
      </c>
    </row>
    <row r="42" spans="1:25" x14ac:dyDescent="0.3">
      <c r="A42" s="106" t="s">
        <v>434</v>
      </c>
      <c r="O42" s="112" t="s">
        <v>435</v>
      </c>
      <c r="P42" s="113">
        <v>5</v>
      </c>
      <c r="Q42" s="112" t="s">
        <v>436</v>
      </c>
      <c r="R42" s="113">
        <v>0</v>
      </c>
      <c r="S42" s="114"/>
      <c r="T42" s="110"/>
    </row>
    <row r="43" spans="1:25" x14ac:dyDescent="0.3">
      <c r="O43" s="112" t="s">
        <v>437</v>
      </c>
      <c r="P43" s="113">
        <v>3</v>
      </c>
      <c r="Q43" s="112" t="s">
        <v>438</v>
      </c>
      <c r="R43" s="113">
        <v>0</v>
      </c>
      <c r="S43" s="114"/>
      <c r="T43" s="114"/>
    </row>
    <row r="44" spans="1:25" x14ac:dyDescent="0.3">
      <c r="A44" s="83" t="s">
        <v>404</v>
      </c>
      <c r="B44" s="70">
        <v>2028</v>
      </c>
      <c r="C44" s="70">
        <v>2029</v>
      </c>
      <c r="D44" s="70">
        <v>2030</v>
      </c>
      <c r="E44" s="70">
        <v>2031</v>
      </c>
      <c r="F44" s="70">
        <v>2032</v>
      </c>
      <c r="G44" s="70">
        <v>2033</v>
      </c>
      <c r="H44" s="70">
        <v>2034</v>
      </c>
      <c r="I44" s="70">
        <v>2035</v>
      </c>
      <c r="J44" s="70" t="s">
        <v>362</v>
      </c>
      <c r="K44" s="70" t="s">
        <v>319</v>
      </c>
      <c r="O44" s="112" t="s">
        <v>439</v>
      </c>
      <c r="P44" s="113">
        <v>2</v>
      </c>
      <c r="Q44" s="112" t="s">
        <v>440</v>
      </c>
      <c r="R44" s="113">
        <v>0</v>
      </c>
      <c r="S44" s="114"/>
      <c r="T44" s="114" t="s">
        <v>441</v>
      </c>
    </row>
    <row r="45" spans="1:25" x14ac:dyDescent="0.3">
      <c r="A45" s="19" t="s">
        <v>442</v>
      </c>
      <c r="B45" s="50">
        <f t="shared" ref="B45:J45" si="11">B33+B40</f>
        <v>0</v>
      </c>
      <c r="C45" s="50">
        <f t="shared" si="11"/>
        <v>0</v>
      </c>
      <c r="D45" s="50">
        <f t="shared" si="11"/>
        <v>0</v>
      </c>
      <c r="E45" s="50">
        <f t="shared" si="11"/>
        <v>0</v>
      </c>
      <c r="F45" s="50">
        <f t="shared" si="11"/>
        <v>0</v>
      </c>
      <c r="G45" s="50">
        <f t="shared" si="11"/>
        <v>0</v>
      </c>
      <c r="H45" s="50">
        <f t="shared" si="11"/>
        <v>0</v>
      </c>
      <c r="I45" s="50">
        <f t="shared" si="11"/>
        <v>0</v>
      </c>
      <c r="J45" s="50">
        <f t="shared" si="11"/>
        <v>0</v>
      </c>
      <c r="K45" s="64">
        <f>SUM(B45:J45)</f>
        <v>0</v>
      </c>
    </row>
    <row r="46" spans="1:25" x14ac:dyDescent="0.3">
      <c r="A46" s="19" t="s">
        <v>443</v>
      </c>
      <c r="B46" s="50">
        <f t="shared" ref="B46:J46" si="12">P30</f>
        <v>0</v>
      </c>
      <c r="C46" s="50">
        <f t="shared" si="12"/>
        <v>0</v>
      </c>
      <c r="D46" s="50">
        <f t="shared" si="12"/>
        <v>0</v>
      </c>
      <c r="E46" s="50">
        <f t="shared" si="12"/>
        <v>0</v>
      </c>
      <c r="F46" s="50">
        <f t="shared" si="12"/>
        <v>0</v>
      </c>
      <c r="G46" s="50">
        <f t="shared" si="12"/>
        <v>0</v>
      </c>
      <c r="H46" s="50">
        <f t="shared" si="12"/>
        <v>0</v>
      </c>
      <c r="I46" s="50">
        <f t="shared" si="12"/>
        <v>0</v>
      </c>
      <c r="J46" s="50">
        <f t="shared" si="12"/>
        <v>0</v>
      </c>
      <c r="K46" s="64">
        <f>SUM(B46:J46)</f>
        <v>0</v>
      </c>
      <c r="O46" s="83" t="s">
        <v>409</v>
      </c>
      <c r="P46" s="70">
        <v>2028</v>
      </c>
      <c r="Q46" s="70">
        <v>2029</v>
      </c>
      <c r="R46" s="70">
        <v>2030</v>
      </c>
      <c r="S46" s="70">
        <v>2031</v>
      </c>
      <c r="T46" s="70">
        <v>2032</v>
      </c>
      <c r="U46" s="70">
        <v>2033</v>
      </c>
      <c r="V46" s="70">
        <v>2034</v>
      </c>
      <c r="W46" s="70">
        <v>2035</v>
      </c>
      <c r="X46" s="70" t="s">
        <v>362</v>
      </c>
      <c r="Y46" s="70" t="s">
        <v>319</v>
      </c>
    </row>
    <row r="47" spans="1:25" x14ac:dyDescent="0.3">
      <c r="A47" s="19" t="s">
        <v>444</v>
      </c>
      <c r="B47" s="50">
        <f t="shared" ref="B47:J47" si="13">B45-B46</f>
        <v>0</v>
      </c>
      <c r="C47" s="50">
        <f t="shared" si="13"/>
        <v>0</v>
      </c>
      <c r="D47" s="50">
        <f t="shared" si="13"/>
        <v>0</v>
      </c>
      <c r="E47" s="50">
        <f t="shared" si="13"/>
        <v>0</v>
      </c>
      <c r="F47" s="50">
        <f t="shared" si="13"/>
        <v>0</v>
      </c>
      <c r="G47" s="50">
        <f t="shared" si="13"/>
        <v>0</v>
      </c>
      <c r="H47" s="50">
        <f t="shared" si="13"/>
        <v>0</v>
      </c>
      <c r="I47" s="50">
        <f t="shared" si="13"/>
        <v>0</v>
      </c>
      <c r="J47" s="50">
        <f t="shared" si="13"/>
        <v>0</v>
      </c>
      <c r="K47" s="98"/>
      <c r="O47" s="113" t="s">
        <v>412</v>
      </c>
      <c r="P47" s="110"/>
      <c r="Q47" s="110">
        <f>$P$42*P$39</f>
        <v>0</v>
      </c>
      <c r="R47" s="110">
        <f>$P$42*(Q$39+R$39)</f>
        <v>0</v>
      </c>
      <c r="S47" s="110">
        <f>$P$42*(S$39+T$39)</f>
        <v>0</v>
      </c>
      <c r="T47" s="110">
        <f>$P$42*U$39</f>
        <v>0</v>
      </c>
      <c r="U47" s="110"/>
      <c r="V47" s="110"/>
      <c r="W47" s="110"/>
      <c r="X47" s="110"/>
      <c r="Y47" s="99">
        <f t="shared" ref="Y47:Y53" si="14">SUM(P47:X47)</f>
        <v>0</v>
      </c>
    </row>
    <row r="48" spans="1:25" x14ac:dyDescent="0.3">
      <c r="A48" s="19" t="s">
        <v>445</v>
      </c>
      <c r="B48" s="50">
        <f>B47</f>
        <v>0</v>
      </c>
      <c r="C48" s="50">
        <f t="shared" ref="C48:J48" si="15">B48+C47</f>
        <v>0</v>
      </c>
      <c r="D48" s="50">
        <f t="shared" si="15"/>
        <v>0</v>
      </c>
      <c r="E48" s="50">
        <f t="shared" si="15"/>
        <v>0</v>
      </c>
      <c r="F48" s="50">
        <f t="shared" si="15"/>
        <v>0</v>
      </c>
      <c r="G48" s="50">
        <f t="shared" si="15"/>
        <v>0</v>
      </c>
      <c r="H48" s="50">
        <f t="shared" si="15"/>
        <v>0</v>
      </c>
      <c r="I48" s="50">
        <f t="shared" si="15"/>
        <v>0</v>
      </c>
      <c r="J48" s="50">
        <f t="shared" si="15"/>
        <v>0</v>
      </c>
      <c r="K48" s="98"/>
      <c r="O48" s="113" t="s">
        <v>413</v>
      </c>
      <c r="P48" s="110"/>
      <c r="Q48" s="110"/>
      <c r="R48" s="110">
        <f>$P$43*P$39</f>
        <v>0</v>
      </c>
      <c r="S48" s="110">
        <f>$P$43*(Q$39+R$39)</f>
        <v>0</v>
      </c>
      <c r="T48" s="110">
        <f>$P$43*(S$39+T$39)</f>
        <v>0</v>
      </c>
      <c r="U48" s="110">
        <f>$P$43*U$39</f>
        <v>0</v>
      </c>
      <c r="V48" s="110"/>
      <c r="W48" s="110"/>
      <c r="X48" s="110"/>
      <c r="Y48" s="99">
        <f t="shared" si="14"/>
        <v>0</v>
      </c>
    </row>
    <row r="49" spans="1:25" x14ac:dyDescent="0.3">
      <c r="O49" s="113" t="s">
        <v>414</v>
      </c>
      <c r="P49" s="110"/>
      <c r="Q49" s="110"/>
      <c r="R49" s="110"/>
      <c r="S49" s="110">
        <f>$P$44*P$39</f>
        <v>0</v>
      </c>
      <c r="T49" s="110">
        <f>$P$44*(Q$39+R$39)</f>
        <v>0</v>
      </c>
      <c r="U49" s="110">
        <f>$P$44*(S$39+T$39)</f>
        <v>0</v>
      </c>
      <c r="V49" s="110">
        <f>$P$44*U$39</f>
        <v>0</v>
      </c>
      <c r="W49" s="110"/>
      <c r="X49" s="110"/>
      <c r="Y49" s="99">
        <f t="shared" si="14"/>
        <v>0</v>
      </c>
    </row>
    <row r="50" spans="1:25" x14ac:dyDescent="0.3">
      <c r="O50" s="113" t="s">
        <v>415</v>
      </c>
      <c r="P50" s="110"/>
      <c r="Q50" s="110"/>
      <c r="R50" s="110"/>
      <c r="S50" s="110"/>
      <c r="T50" s="110"/>
      <c r="U50" s="110"/>
      <c r="V50" s="110"/>
      <c r="W50" s="110"/>
      <c r="X50" s="110"/>
      <c r="Y50" s="99">
        <f t="shared" si="14"/>
        <v>0</v>
      </c>
    </row>
    <row r="51" spans="1:25" x14ac:dyDescent="0.3">
      <c r="A51" s="101" t="s">
        <v>446</v>
      </c>
      <c r="B51" s="70">
        <v>2028</v>
      </c>
      <c r="C51" s="70">
        <v>2029</v>
      </c>
      <c r="D51" s="70">
        <v>2030</v>
      </c>
      <c r="E51" s="70">
        <v>2031</v>
      </c>
      <c r="F51" s="70">
        <v>2032</v>
      </c>
      <c r="G51" s="70">
        <v>2033</v>
      </c>
      <c r="H51" s="70">
        <v>2034</v>
      </c>
      <c r="I51" s="70">
        <v>2035</v>
      </c>
      <c r="J51" s="70" t="s">
        <v>362</v>
      </c>
      <c r="O51" s="113" t="s">
        <v>416</v>
      </c>
      <c r="P51" s="110"/>
      <c r="Q51" s="110"/>
      <c r="R51" s="110"/>
      <c r="S51" s="110"/>
      <c r="T51" s="110"/>
      <c r="U51" s="110"/>
      <c r="V51" s="110"/>
      <c r="W51" s="110"/>
      <c r="X51" s="110"/>
      <c r="Y51" s="99">
        <f t="shared" si="14"/>
        <v>0</v>
      </c>
    </row>
    <row r="52" spans="1:25" x14ac:dyDescent="0.3">
      <c r="A52" s="19" t="s">
        <v>405</v>
      </c>
      <c r="B52" s="50">
        <f>B45</f>
        <v>0</v>
      </c>
      <c r="C52" s="50">
        <f t="shared" ref="C52:J53" si="16">B52+C45</f>
        <v>0</v>
      </c>
      <c r="D52" s="50">
        <f t="shared" si="16"/>
        <v>0</v>
      </c>
      <c r="E52" s="50">
        <f t="shared" si="16"/>
        <v>0</v>
      </c>
      <c r="F52" s="50">
        <f t="shared" si="16"/>
        <v>0</v>
      </c>
      <c r="G52" s="50">
        <f t="shared" si="16"/>
        <v>0</v>
      </c>
      <c r="H52" s="50">
        <f t="shared" si="16"/>
        <v>0</v>
      </c>
      <c r="I52" s="50">
        <f t="shared" si="16"/>
        <v>0</v>
      </c>
      <c r="J52" s="50">
        <f t="shared" si="16"/>
        <v>0</v>
      </c>
      <c r="K52" s="1"/>
      <c r="O52" s="113" t="s">
        <v>417</v>
      </c>
      <c r="P52" s="110"/>
      <c r="Q52" s="110"/>
      <c r="R52" s="110"/>
      <c r="S52" s="110"/>
      <c r="T52" s="110"/>
      <c r="U52" s="110"/>
      <c r="V52" s="110"/>
      <c r="W52" s="110"/>
      <c r="X52" s="110"/>
      <c r="Y52" s="99">
        <f t="shared" si="14"/>
        <v>0</v>
      </c>
    </row>
    <row r="53" spans="1:25" x14ac:dyDescent="0.3">
      <c r="A53" s="19" t="s">
        <v>406</v>
      </c>
      <c r="B53" s="50">
        <f>B46</f>
        <v>0</v>
      </c>
      <c r="C53" s="50">
        <f t="shared" si="16"/>
        <v>0</v>
      </c>
      <c r="D53" s="50">
        <f t="shared" si="16"/>
        <v>0</v>
      </c>
      <c r="E53" s="50">
        <f t="shared" si="16"/>
        <v>0</v>
      </c>
      <c r="F53" s="50">
        <f t="shared" si="16"/>
        <v>0</v>
      </c>
      <c r="G53" s="50">
        <f t="shared" si="16"/>
        <v>0</v>
      </c>
      <c r="H53" s="50">
        <f t="shared" si="16"/>
        <v>0</v>
      </c>
      <c r="I53" s="50">
        <f t="shared" si="16"/>
        <v>0</v>
      </c>
      <c r="J53" s="50">
        <f t="shared" si="16"/>
        <v>0</v>
      </c>
      <c r="O53" s="19" t="s">
        <v>447</v>
      </c>
      <c r="P53" s="99">
        <f t="shared" ref="P53:X53" si="17">SUM(P47:P52)</f>
        <v>0</v>
      </c>
      <c r="Q53" s="99">
        <f t="shared" si="17"/>
        <v>0</v>
      </c>
      <c r="R53" s="99">
        <f t="shared" si="17"/>
        <v>0</v>
      </c>
      <c r="S53" s="99">
        <f t="shared" si="17"/>
        <v>0</v>
      </c>
      <c r="T53" s="99">
        <f t="shared" si="17"/>
        <v>0</v>
      </c>
      <c r="U53" s="99">
        <f t="shared" si="17"/>
        <v>0</v>
      </c>
      <c r="V53" s="99">
        <f t="shared" si="17"/>
        <v>0</v>
      </c>
      <c r="W53" s="99">
        <f t="shared" si="17"/>
        <v>0</v>
      </c>
      <c r="X53" s="99">
        <f t="shared" si="17"/>
        <v>0</v>
      </c>
      <c r="Y53" s="99">
        <f t="shared" si="14"/>
        <v>0</v>
      </c>
    </row>
    <row r="62" spans="1:25" x14ac:dyDescent="0.3">
      <c r="T62" s="81"/>
    </row>
    <row r="63" spans="1:25" x14ac:dyDescent="0.3">
      <c r="A63" s="82"/>
    </row>
    <row r="64" spans="1:25" x14ac:dyDescent="0.3">
      <c r="A64" s="86"/>
    </row>
    <row r="65" spans="1:1" x14ac:dyDescent="0.3">
      <c r="A65" s="14"/>
    </row>
    <row r="66" spans="1:1" x14ac:dyDescent="0.3">
      <c r="A66" s="13"/>
    </row>
    <row r="67" spans="1:1" x14ac:dyDescent="0.3">
      <c r="A67" s="13"/>
    </row>
  </sheetData>
  <sheetProtection selectLockedCells="1"/>
  <mergeCells count="5">
    <mergeCell ref="A1:K1"/>
    <mergeCell ref="A2:K2"/>
    <mergeCell ref="O20:Y20"/>
    <mergeCell ref="O34:Y34"/>
    <mergeCell ref="O36:V36"/>
  </mergeCells>
  <conditionalFormatting sqref="A1:Y67">
    <cfRule type="expression" dxfId="26" priority="100">
      <formula>ISERROR(A1)</formula>
    </cfRule>
  </conditionalFormatting>
  <conditionalFormatting sqref="B36:I36">
    <cfRule type="cellIs" dxfId="25" priority="1" operator="greaterThan">
      <formula>$B$19</formula>
    </cfRule>
  </conditionalFormatting>
  <conditionalFormatting sqref="K30">
    <cfRule type="cellIs" dxfId="24" priority="2" operator="equal">
      <formula>$B$5</formula>
    </cfRule>
  </conditionalFormatting>
  <dataValidations count="5">
    <dataValidation type="decimal" operator="greaterThanOrEqual" allowBlank="1" showInputMessage="1" showErrorMessage="1" errorTitle="Amount required" error="Enter an amount in EUR, 0 or more." promptTitle="Average project budget (EUR)" prompt="Enter the average EU budget of a project in EUR." sqref="T42" xr:uid="{D3AEB845-5047-41F1-9827-E40738AD76C8}">
      <formula1>0</formula1>
    </dataValidation>
    <dataValidation type="decimal" operator="greaterThanOrEqual" allowBlank="1" showInputMessage="1" showErrorMessage="1" errorTitle="Number required" error="Enter a number, 0 or more." promptTitle="Number of projects per call" prompt="Enter the number of projects expected per call." sqref="P42:P44 R42:R44" xr:uid="{939F221B-1067-48D7-896F-B59394A8D463}">
      <formula1>0</formula1>
    </dataValidation>
    <dataValidation type="decimal" allowBlank="1" showInputMessage="1" showErrorMessage="1" errorTitle="Percentage required" error="Enter a percentage between 0% and 100%." promptTitle="Spending profile (%)" prompt="Enter the share of the project budget spent in each half year of a regular 36 month project. The six values must add up to 100%." sqref="P38:U38" xr:uid="{4FC8BFEA-A9DA-4AF7-B4DD-B31A40C1EEE2}">
      <formula1>0</formula1>
      <formula2>1</formula2>
    </dataValidation>
    <dataValidation type="decimal" operator="greaterThanOrEqual" allowBlank="1" showInputMessage="1" showErrorMessage="1" errorTitle="Amount required" error="Enter an amount in EUR, 0 or more." promptTitle="Payments to projects (EUR)" prompt="Enter the payments to projects per call and year in EUR (2028 to 2035 and after closure), for example copied from the mini calculator on the right. They feed the outflows of this sheet." sqref="P24:X29" xr:uid="{067A4862-4C37-4EB0-8C88-B272D68D0619}">
      <formula1>0</formula1>
    </dataValidation>
    <dataValidation allowBlank="1" showInputMessage="1" promptTitle="Call or project group" prompt="Optional. Name of the call or group of projects. The name is shown in the table on the left." sqref="O24:O29" xr:uid="{00000000-0002-0000-0800-000004000000}"/>
  </dataValidations>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7005C-9969-49E3-80B1-34BB00868A36}">
  <dimension ref="A1:Y67"/>
  <sheetViews>
    <sheetView topLeftCell="A21" zoomScaleNormal="100" workbookViewId="0">
      <selection activeCell="K64" sqref="K64"/>
    </sheetView>
  </sheetViews>
  <sheetFormatPr defaultRowHeight="15.05" x14ac:dyDescent="0.3"/>
  <cols>
    <col min="1" max="1" width="44" customWidth="1"/>
    <col min="2" max="2" width="14.5546875" customWidth="1"/>
    <col min="3" max="3" width="13.5546875" customWidth="1"/>
    <col min="4" max="4" width="13.109375" customWidth="1"/>
    <col min="5" max="5" width="14.88671875" customWidth="1"/>
    <col min="6" max="6" width="14" customWidth="1"/>
    <col min="7" max="7" width="15.109375" customWidth="1"/>
    <col min="8" max="8" width="13.44140625" customWidth="1"/>
    <col min="9" max="9" width="14.44140625" customWidth="1"/>
    <col min="10" max="10" width="14.88671875" customWidth="1"/>
    <col min="11" max="11" width="14.109375" customWidth="1"/>
    <col min="15" max="15" width="19.5546875" bestFit="1" customWidth="1"/>
    <col min="20" max="20" width="14" bestFit="1" customWidth="1"/>
    <col min="25" max="25" width="10.109375" bestFit="1" customWidth="1"/>
    <col min="26" max="26" width="13.5546875" bestFit="1" customWidth="1"/>
    <col min="27" max="27" width="10.109375" bestFit="1" customWidth="1"/>
  </cols>
  <sheetData>
    <row r="1" spans="1:14" ht="18" x14ac:dyDescent="0.3">
      <c r="A1" s="157" t="s">
        <v>403</v>
      </c>
      <c r="B1" s="157"/>
      <c r="C1" s="157"/>
      <c r="D1" s="157"/>
      <c r="E1" s="157"/>
      <c r="F1" s="157"/>
      <c r="G1" s="157"/>
      <c r="H1" s="157"/>
      <c r="I1" s="157"/>
      <c r="J1" s="157"/>
      <c r="K1" s="157"/>
    </row>
    <row r="2" spans="1:14" ht="18" x14ac:dyDescent="0.3">
      <c r="A2" s="157" t="s">
        <v>407</v>
      </c>
      <c r="B2" s="157"/>
      <c r="C2" s="157"/>
      <c r="D2" s="157"/>
      <c r="E2" s="157"/>
      <c r="F2" s="157"/>
      <c r="G2" s="157"/>
      <c r="H2" s="157"/>
      <c r="I2" s="157"/>
      <c r="J2" s="157"/>
      <c r="K2" s="157"/>
    </row>
    <row r="3" spans="1:14" ht="14.4" x14ac:dyDescent="0.3">
      <c r="A3" s="5"/>
    </row>
    <row r="4" spans="1:14" ht="14.4" x14ac:dyDescent="0.3">
      <c r="B4" s="6" t="s">
        <v>408</v>
      </c>
      <c r="C4" s="6" t="s">
        <v>297</v>
      </c>
    </row>
    <row r="5" spans="1:14" ht="14.4" x14ac:dyDescent="0.3">
      <c r="A5" s="6" t="str">
        <f>'pay out values'!B29</f>
        <v>Measure 3</v>
      </c>
      <c r="B5" s="50">
        <f>'pay out values'!D29</f>
        <v>0</v>
      </c>
      <c r="C5" s="102">
        <f>'pay out values'!C29</f>
        <v>0</v>
      </c>
      <c r="K5" s="3"/>
    </row>
    <row r="6" spans="1:14" ht="14.4" x14ac:dyDescent="0.3">
      <c r="C6" s="3"/>
      <c r="D6" s="3"/>
      <c r="E6" s="87"/>
      <c r="F6" s="3"/>
      <c r="K6" s="3"/>
      <c r="N6" s="13"/>
    </row>
    <row r="7" spans="1:14" x14ac:dyDescent="0.3">
      <c r="A7" s="69" t="s">
        <v>368</v>
      </c>
      <c r="B7" s="83" t="s">
        <v>369</v>
      </c>
      <c r="C7" s="84" t="s">
        <v>370</v>
      </c>
      <c r="D7" s="3"/>
      <c r="E7" s="87"/>
      <c r="F7" s="3"/>
      <c r="K7" s="3"/>
      <c r="N7" s="13"/>
    </row>
    <row r="8" spans="1:14" ht="14.4" x14ac:dyDescent="0.3">
      <c r="A8" s="19" t="s">
        <v>371</v>
      </c>
      <c r="B8" s="50">
        <f>$B$5*C8</f>
        <v>0</v>
      </c>
      <c r="C8" s="102">
        <f>'N+1 '!J15</f>
        <v>0.12</v>
      </c>
      <c r="D8" s="3"/>
      <c r="E8" s="87"/>
      <c r="F8" s="3"/>
      <c r="K8" s="3"/>
    </row>
    <row r="9" spans="1:14" ht="14.4" x14ac:dyDescent="0.3">
      <c r="A9" s="19" t="s">
        <v>372</v>
      </c>
      <c r="B9" s="50">
        <f>$B$5*C9</f>
        <v>0</v>
      </c>
      <c r="C9" s="102">
        <f>1-C8</f>
        <v>0.88</v>
      </c>
      <c r="D9" s="3"/>
      <c r="E9" s="87"/>
      <c r="F9" s="3"/>
      <c r="K9" s="3"/>
    </row>
    <row r="10" spans="1:14" x14ac:dyDescent="0.3">
      <c r="A10" s="19" t="s">
        <v>286</v>
      </c>
      <c r="B10" s="50">
        <f>SUM(B8:B9)</f>
        <v>0</v>
      </c>
      <c r="C10" s="102">
        <f>SUM(C8:C9)</f>
        <v>1</v>
      </c>
      <c r="D10" s="3"/>
      <c r="E10" s="87"/>
      <c r="F10" s="3"/>
      <c r="K10" s="3"/>
    </row>
    <row r="11" spans="1:14" ht="14.4" x14ac:dyDescent="0.3">
      <c r="D11" s="3"/>
      <c r="E11" s="87"/>
      <c r="F11" s="3"/>
      <c r="K11" s="3"/>
    </row>
    <row r="12" spans="1:14" x14ac:dyDescent="0.3">
      <c r="A12" s="69" t="s">
        <v>373</v>
      </c>
      <c r="B12" s="83" t="s">
        <v>369</v>
      </c>
      <c r="C12" s="84" t="s">
        <v>370</v>
      </c>
      <c r="D12" s="3"/>
      <c r="E12" s="87"/>
      <c r="F12" s="3"/>
      <c r="K12" s="3"/>
    </row>
    <row r="13" spans="1:14" ht="14.4" x14ac:dyDescent="0.3">
      <c r="A13" s="19" t="s">
        <v>371</v>
      </c>
      <c r="B13" s="50">
        <f>$B$5*C13</f>
        <v>0</v>
      </c>
      <c r="C13" s="102">
        <f>C8</f>
        <v>0.12</v>
      </c>
      <c r="D13" s="3"/>
      <c r="E13" s="87"/>
      <c r="F13" s="3"/>
      <c r="K13" s="3"/>
    </row>
    <row r="14" spans="1:14" ht="14.4" x14ac:dyDescent="0.3">
      <c r="A14" s="19" t="s">
        <v>372</v>
      </c>
      <c r="B14" s="50">
        <f>$B$5*C14</f>
        <v>0</v>
      </c>
      <c r="C14" s="102">
        <f>C19-C8</f>
        <v>0.83</v>
      </c>
      <c r="D14" s="3"/>
      <c r="E14" s="87"/>
      <c r="F14" s="3"/>
      <c r="K14" s="3"/>
    </row>
    <row r="15" spans="1:14" ht="14.4" x14ac:dyDescent="0.3">
      <c r="A15" s="19" t="s">
        <v>375</v>
      </c>
      <c r="B15" s="50">
        <f>$B$5*C15</f>
        <v>0</v>
      </c>
      <c r="C15" s="102">
        <f>1-C19</f>
        <v>5.0000000000000044E-2</v>
      </c>
      <c r="D15" s="3"/>
      <c r="E15" s="87"/>
      <c r="K15" s="3"/>
      <c r="M15" s="3"/>
    </row>
    <row r="16" spans="1:14" x14ac:dyDescent="0.3">
      <c r="A16" s="19" t="s">
        <v>286</v>
      </c>
      <c r="B16" s="50">
        <f>SUM(B13:B15)</f>
        <v>0</v>
      </c>
      <c r="C16" s="102">
        <f>SUM(C13:C15)</f>
        <v>1</v>
      </c>
      <c r="D16" s="3"/>
      <c r="E16" s="87"/>
      <c r="F16" s="3"/>
      <c r="K16" s="3"/>
    </row>
    <row r="17" spans="1:25" ht="14.4" x14ac:dyDescent="0.3">
      <c r="E17" s="87"/>
      <c r="F17" s="3"/>
      <c r="K17" s="3"/>
      <c r="N17" s="13"/>
    </row>
    <row r="18" spans="1:25" x14ac:dyDescent="0.3">
      <c r="A18" s="83" t="s">
        <v>376</v>
      </c>
      <c r="B18" s="83" t="s">
        <v>369</v>
      </c>
      <c r="C18" s="84" t="s">
        <v>370</v>
      </c>
      <c r="D18" s="70" t="s">
        <v>377</v>
      </c>
      <c r="E18" s="87"/>
      <c r="F18" s="3"/>
      <c r="K18" s="3"/>
      <c r="N18" s="13"/>
    </row>
    <row r="19" spans="1:25" ht="14.4" x14ac:dyDescent="0.3">
      <c r="A19" s="19" t="str">
        <f>"Payment ceiling at "&amp;TEXT(C19,"0%")</f>
        <v>Payment ceiling at 95%</v>
      </c>
      <c r="B19" s="50">
        <f>B5*C19</f>
        <v>0</v>
      </c>
      <c r="C19" s="103">
        <f>Inflows!C22</f>
        <v>0.95</v>
      </c>
      <c r="D19" s="50">
        <f>B5-B19</f>
        <v>0</v>
      </c>
      <c r="E19" s="87"/>
      <c r="F19" s="3"/>
      <c r="K19" s="3"/>
      <c r="N19" s="13"/>
    </row>
    <row r="20" spans="1:25" ht="18" x14ac:dyDescent="0.3">
      <c r="A20" s="19" t="s">
        <v>379</v>
      </c>
      <c r="B20" s="98"/>
      <c r="C20" s="103">
        <f>C8</f>
        <v>0.12</v>
      </c>
      <c r="D20" s="50">
        <f>B8</f>
        <v>0</v>
      </c>
      <c r="E20" s="87"/>
      <c r="K20" s="3"/>
      <c r="N20" s="13"/>
      <c r="O20" s="157" t="s">
        <v>409</v>
      </c>
      <c r="P20" s="157"/>
      <c r="Q20" s="157"/>
      <c r="R20" s="157"/>
      <c r="S20" s="157"/>
      <c r="T20" s="157"/>
      <c r="U20" s="157"/>
      <c r="V20" s="157"/>
      <c r="W20" s="157"/>
      <c r="X20" s="157"/>
      <c r="Y20" s="157"/>
    </row>
    <row r="21" spans="1:25" ht="14.4" x14ac:dyDescent="0.3">
      <c r="A21" s="19" t="s">
        <v>380</v>
      </c>
      <c r="B21" s="50">
        <f>B14</f>
        <v>0</v>
      </c>
      <c r="C21" s="103">
        <f>C19-C20</f>
        <v>0.83</v>
      </c>
      <c r="D21" s="50">
        <f>SUM(D19:D20)</f>
        <v>0</v>
      </c>
      <c r="E21" s="87"/>
      <c r="F21" s="3"/>
      <c r="K21" s="3"/>
      <c r="N21" s="13"/>
    </row>
    <row r="22" spans="1:25" ht="14.4" x14ac:dyDescent="0.3">
      <c r="K22" s="3"/>
      <c r="M22" s="3"/>
      <c r="O22" t="s">
        <v>410</v>
      </c>
    </row>
    <row r="23" spans="1:25" ht="14.4" x14ac:dyDescent="0.3">
      <c r="A23" s="83" t="s">
        <v>411</v>
      </c>
      <c r="B23" s="70">
        <v>2028</v>
      </c>
      <c r="C23" s="70">
        <v>2029</v>
      </c>
      <c r="D23" s="70">
        <v>2030</v>
      </c>
      <c r="E23" s="70">
        <v>2031</v>
      </c>
      <c r="F23" s="70">
        <v>2032</v>
      </c>
      <c r="G23" s="70">
        <v>2033</v>
      </c>
      <c r="H23" s="70">
        <v>2034</v>
      </c>
      <c r="I23" s="70">
        <v>2035</v>
      </c>
      <c r="J23" s="70" t="s">
        <v>362</v>
      </c>
      <c r="K23" s="70" t="s">
        <v>319</v>
      </c>
      <c r="O23" s="83" t="s">
        <v>409</v>
      </c>
      <c r="P23" s="70">
        <v>2028</v>
      </c>
      <c r="Q23" s="70">
        <v>2029</v>
      </c>
      <c r="R23" s="70">
        <v>2030</v>
      </c>
      <c r="S23" s="70">
        <v>2031</v>
      </c>
      <c r="T23" s="70">
        <v>2032</v>
      </c>
      <c r="U23" s="70">
        <v>2033</v>
      </c>
      <c r="V23" s="70">
        <v>2034</v>
      </c>
      <c r="W23" s="70">
        <v>2035</v>
      </c>
      <c r="X23" s="70" t="s">
        <v>362</v>
      </c>
      <c r="Y23" s="70" t="s">
        <v>319</v>
      </c>
    </row>
    <row r="24" spans="1:25" ht="14.4" x14ac:dyDescent="0.3">
      <c r="A24" s="19" t="str">
        <f t="shared" ref="A24:J29" si="0">O24</f>
        <v>Call 1 projects</v>
      </c>
      <c r="B24" s="50">
        <f t="shared" si="0"/>
        <v>0</v>
      </c>
      <c r="C24" s="50">
        <f t="shared" si="0"/>
        <v>0</v>
      </c>
      <c r="D24" s="50">
        <f t="shared" si="0"/>
        <v>0</v>
      </c>
      <c r="E24" s="50">
        <f t="shared" si="0"/>
        <v>0</v>
      </c>
      <c r="F24" s="50">
        <f t="shared" si="0"/>
        <v>0</v>
      </c>
      <c r="G24" s="50">
        <f t="shared" si="0"/>
        <v>0</v>
      </c>
      <c r="H24" s="50">
        <f t="shared" si="0"/>
        <v>0</v>
      </c>
      <c r="I24" s="50">
        <f t="shared" si="0"/>
        <v>0</v>
      </c>
      <c r="J24" s="50">
        <f t="shared" si="0"/>
        <v>0</v>
      </c>
      <c r="K24" s="64">
        <f t="shared" ref="K24:K30" si="1">SUM(B24:J24)</f>
        <v>0</v>
      </c>
      <c r="O24" s="109" t="s">
        <v>412</v>
      </c>
      <c r="P24" s="110"/>
      <c r="Q24" s="110"/>
      <c r="R24" s="110"/>
      <c r="S24" s="110"/>
      <c r="T24" s="110"/>
      <c r="U24" s="110"/>
      <c r="V24" s="110"/>
      <c r="W24" s="110"/>
      <c r="X24" s="110"/>
      <c r="Y24" s="99">
        <f t="shared" ref="Y24:Y30" si="2">SUM(P24:X24)</f>
        <v>0</v>
      </c>
    </row>
    <row r="25" spans="1:25" ht="14.4" x14ac:dyDescent="0.3">
      <c r="A25" s="19" t="str">
        <f t="shared" si="0"/>
        <v>Call 2 projects</v>
      </c>
      <c r="B25" s="50">
        <f t="shared" si="0"/>
        <v>0</v>
      </c>
      <c r="C25" s="50">
        <f t="shared" si="0"/>
        <v>0</v>
      </c>
      <c r="D25" s="50">
        <f t="shared" si="0"/>
        <v>0</v>
      </c>
      <c r="E25" s="50">
        <f t="shared" si="0"/>
        <v>0</v>
      </c>
      <c r="F25" s="50">
        <f t="shared" si="0"/>
        <v>0</v>
      </c>
      <c r="G25" s="50">
        <f t="shared" si="0"/>
        <v>0</v>
      </c>
      <c r="H25" s="50">
        <f t="shared" si="0"/>
        <v>0</v>
      </c>
      <c r="I25" s="50">
        <f t="shared" si="0"/>
        <v>0</v>
      </c>
      <c r="J25" s="50">
        <f t="shared" si="0"/>
        <v>0</v>
      </c>
      <c r="K25" s="64">
        <f t="shared" si="1"/>
        <v>0</v>
      </c>
      <c r="O25" s="109" t="s">
        <v>413</v>
      </c>
      <c r="P25" s="110"/>
      <c r="Q25" s="110"/>
      <c r="R25" s="110"/>
      <c r="S25" s="110"/>
      <c r="T25" s="110"/>
      <c r="U25" s="110"/>
      <c r="V25" s="110"/>
      <c r="W25" s="110"/>
      <c r="X25" s="110"/>
      <c r="Y25" s="99">
        <f t="shared" si="2"/>
        <v>0</v>
      </c>
    </row>
    <row r="26" spans="1:25" ht="14.4" x14ac:dyDescent="0.3">
      <c r="A26" s="19" t="str">
        <f t="shared" si="0"/>
        <v>Call 3 projects</v>
      </c>
      <c r="B26" s="50">
        <f t="shared" si="0"/>
        <v>0</v>
      </c>
      <c r="C26" s="50">
        <f t="shared" si="0"/>
        <v>0</v>
      </c>
      <c r="D26" s="50">
        <f t="shared" si="0"/>
        <v>0</v>
      </c>
      <c r="E26" s="50">
        <f t="shared" si="0"/>
        <v>0</v>
      </c>
      <c r="F26" s="50">
        <f t="shared" si="0"/>
        <v>0</v>
      </c>
      <c r="G26" s="50">
        <f t="shared" si="0"/>
        <v>0</v>
      </c>
      <c r="H26" s="50">
        <f t="shared" si="0"/>
        <v>0</v>
      </c>
      <c r="I26" s="50">
        <f t="shared" si="0"/>
        <v>0</v>
      </c>
      <c r="J26" s="50">
        <f t="shared" si="0"/>
        <v>0</v>
      </c>
      <c r="K26" s="64">
        <f t="shared" si="1"/>
        <v>0</v>
      </c>
      <c r="O26" s="109" t="s">
        <v>414</v>
      </c>
      <c r="P26" s="110"/>
      <c r="Q26" s="110"/>
      <c r="R26" s="110"/>
      <c r="S26" s="110"/>
      <c r="T26" s="110"/>
      <c r="U26" s="110"/>
      <c r="V26" s="110"/>
      <c r="W26" s="110"/>
      <c r="X26" s="110"/>
      <c r="Y26" s="99">
        <f t="shared" si="2"/>
        <v>0</v>
      </c>
    </row>
    <row r="27" spans="1:25" ht="14.4" x14ac:dyDescent="0.3">
      <c r="A27" s="19" t="str">
        <f t="shared" si="0"/>
        <v>Call 4  projects</v>
      </c>
      <c r="B27" s="50">
        <f t="shared" si="0"/>
        <v>0</v>
      </c>
      <c r="C27" s="50">
        <f t="shared" si="0"/>
        <v>0</v>
      </c>
      <c r="D27" s="50">
        <f t="shared" si="0"/>
        <v>0</v>
      </c>
      <c r="E27" s="50">
        <f t="shared" si="0"/>
        <v>0</v>
      </c>
      <c r="F27" s="50">
        <f t="shared" si="0"/>
        <v>0</v>
      </c>
      <c r="G27" s="50">
        <f t="shared" si="0"/>
        <v>0</v>
      </c>
      <c r="H27" s="50">
        <f t="shared" si="0"/>
        <v>0</v>
      </c>
      <c r="I27" s="50">
        <f t="shared" si="0"/>
        <v>0</v>
      </c>
      <c r="J27" s="50">
        <f t="shared" si="0"/>
        <v>0</v>
      </c>
      <c r="K27" s="64">
        <f t="shared" si="1"/>
        <v>0</v>
      </c>
      <c r="O27" s="109" t="s">
        <v>415</v>
      </c>
      <c r="P27" s="110"/>
      <c r="Q27" s="110"/>
      <c r="R27" s="110"/>
      <c r="S27" s="110"/>
      <c r="T27" s="110"/>
      <c r="U27" s="110"/>
      <c r="V27" s="110"/>
      <c r="W27" s="110"/>
      <c r="X27" s="110"/>
      <c r="Y27" s="99">
        <f t="shared" si="2"/>
        <v>0</v>
      </c>
    </row>
    <row r="28" spans="1:25" ht="14.4" x14ac:dyDescent="0.3">
      <c r="A28" s="19" t="str">
        <f t="shared" si="0"/>
        <v>Call 5  projects</v>
      </c>
      <c r="B28" s="50">
        <f t="shared" si="0"/>
        <v>0</v>
      </c>
      <c r="C28" s="50">
        <f t="shared" si="0"/>
        <v>0</v>
      </c>
      <c r="D28" s="50">
        <f t="shared" si="0"/>
        <v>0</v>
      </c>
      <c r="E28" s="50">
        <f t="shared" si="0"/>
        <v>0</v>
      </c>
      <c r="F28" s="50">
        <f t="shared" si="0"/>
        <v>0</v>
      </c>
      <c r="G28" s="50">
        <f t="shared" si="0"/>
        <v>0</v>
      </c>
      <c r="H28" s="50">
        <f t="shared" si="0"/>
        <v>0</v>
      </c>
      <c r="I28" s="50">
        <f t="shared" si="0"/>
        <v>0</v>
      </c>
      <c r="J28" s="50">
        <f t="shared" si="0"/>
        <v>0</v>
      </c>
      <c r="K28" s="64">
        <f t="shared" si="1"/>
        <v>0</v>
      </c>
      <c r="O28" s="109" t="s">
        <v>416</v>
      </c>
      <c r="P28" s="110"/>
      <c r="Q28" s="110"/>
      <c r="R28" s="110"/>
      <c r="S28" s="110"/>
      <c r="T28" s="110"/>
      <c r="U28" s="110"/>
      <c r="V28" s="110"/>
      <c r="W28" s="110"/>
      <c r="X28" s="110"/>
      <c r="Y28" s="99">
        <f t="shared" si="2"/>
        <v>0</v>
      </c>
    </row>
    <row r="29" spans="1:25" ht="14.4" x14ac:dyDescent="0.3">
      <c r="A29" s="19" t="str">
        <f t="shared" si="0"/>
        <v>Call 6 projects</v>
      </c>
      <c r="B29" s="50">
        <f t="shared" si="0"/>
        <v>0</v>
      </c>
      <c r="C29" s="50">
        <f t="shared" si="0"/>
        <v>0</v>
      </c>
      <c r="D29" s="50">
        <f t="shared" si="0"/>
        <v>0</v>
      </c>
      <c r="E29" s="50">
        <f t="shared" si="0"/>
        <v>0</v>
      </c>
      <c r="F29" s="50">
        <f t="shared" si="0"/>
        <v>0</v>
      </c>
      <c r="G29" s="50">
        <f t="shared" si="0"/>
        <v>0</v>
      </c>
      <c r="H29" s="50">
        <f t="shared" si="0"/>
        <v>0</v>
      </c>
      <c r="I29" s="50">
        <f t="shared" si="0"/>
        <v>0</v>
      </c>
      <c r="J29" s="50">
        <f t="shared" si="0"/>
        <v>0</v>
      </c>
      <c r="K29" s="64">
        <f t="shared" si="1"/>
        <v>0</v>
      </c>
      <c r="O29" s="109" t="s">
        <v>417</v>
      </c>
      <c r="P29" s="110"/>
      <c r="Q29" s="110"/>
      <c r="R29" s="110"/>
      <c r="S29" s="110"/>
      <c r="T29" s="110"/>
      <c r="U29" s="110"/>
      <c r="V29" s="110"/>
      <c r="W29" s="110"/>
      <c r="X29" s="110"/>
      <c r="Y29" s="99">
        <f t="shared" si="2"/>
        <v>0</v>
      </c>
    </row>
    <row r="30" spans="1:25" ht="14.4" x14ac:dyDescent="0.3">
      <c r="A30" s="19" t="s">
        <v>448</v>
      </c>
      <c r="B30" s="50">
        <f t="shared" ref="B30:J30" si="3">SUM(B24:B29)</f>
        <v>0</v>
      </c>
      <c r="C30" s="64">
        <f t="shared" si="3"/>
        <v>0</v>
      </c>
      <c r="D30" s="64">
        <f t="shared" si="3"/>
        <v>0</v>
      </c>
      <c r="E30" s="64">
        <f t="shared" si="3"/>
        <v>0</v>
      </c>
      <c r="F30" s="64">
        <f t="shared" si="3"/>
        <v>0</v>
      </c>
      <c r="G30" s="64">
        <f t="shared" si="3"/>
        <v>0</v>
      </c>
      <c r="H30" s="64">
        <f t="shared" si="3"/>
        <v>0</v>
      </c>
      <c r="I30" s="64">
        <f t="shared" si="3"/>
        <v>0</v>
      </c>
      <c r="J30" s="64">
        <f t="shared" si="3"/>
        <v>0</v>
      </c>
      <c r="K30" s="64">
        <f t="shared" si="1"/>
        <v>0</v>
      </c>
      <c r="O30" s="19" t="s">
        <v>448</v>
      </c>
      <c r="P30" s="99">
        <f t="shared" ref="P30:X30" si="4">SUM(P24:P29)</f>
        <v>0</v>
      </c>
      <c r="Q30" s="99">
        <f t="shared" si="4"/>
        <v>0</v>
      </c>
      <c r="R30" s="99">
        <f t="shared" si="4"/>
        <v>0</v>
      </c>
      <c r="S30" s="99">
        <f t="shared" si="4"/>
        <v>0</v>
      </c>
      <c r="T30" s="99">
        <f t="shared" si="4"/>
        <v>0</v>
      </c>
      <c r="U30" s="99">
        <f t="shared" si="4"/>
        <v>0</v>
      </c>
      <c r="V30" s="99">
        <f t="shared" si="4"/>
        <v>0</v>
      </c>
      <c r="W30" s="99">
        <f t="shared" si="4"/>
        <v>0</v>
      </c>
      <c r="X30" s="99">
        <f t="shared" si="4"/>
        <v>0</v>
      </c>
      <c r="Y30" s="99">
        <f t="shared" si="2"/>
        <v>0</v>
      </c>
    </row>
    <row r="32" spans="1:25" ht="14.4" x14ac:dyDescent="0.3">
      <c r="A32" s="83" t="s">
        <v>419</v>
      </c>
      <c r="B32" s="70">
        <v>2028</v>
      </c>
      <c r="C32" s="70">
        <v>2029</v>
      </c>
      <c r="D32" s="70">
        <v>2030</v>
      </c>
      <c r="E32" s="70">
        <v>2031</v>
      </c>
      <c r="F32" s="70">
        <v>2032</v>
      </c>
      <c r="G32" s="70">
        <v>2033</v>
      </c>
      <c r="H32" s="70">
        <v>2034</v>
      </c>
      <c r="I32" s="70">
        <v>2035</v>
      </c>
      <c r="J32" s="70" t="s">
        <v>362</v>
      </c>
      <c r="K32" s="70" t="s">
        <v>319</v>
      </c>
      <c r="L32" s="11"/>
    </row>
    <row r="33" spans="1:25" ht="14.4" x14ac:dyDescent="0.3">
      <c r="A33" s="19" t="s">
        <v>420</v>
      </c>
      <c r="B33" s="50">
        <f>IF(Inflows!$J$7=0,0,Inflows!B28/Inflows!$J$7*$B$5)</f>
        <v>0</v>
      </c>
      <c r="C33" s="50">
        <f>IF(Inflows!$J$7=0,0,Inflows!C28/Inflows!$J$7*$B$5)</f>
        <v>0</v>
      </c>
      <c r="D33" s="50">
        <f>IF(Inflows!$J$7=0,0,Inflows!D28/Inflows!$J$7*$B$5)</f>
        <v>0</v>
      </c>
      <c r="E33" s="50">
        <f>IF(Inflows!$J$7=0,0,Inflows!E28/Inflows!$J$7*$B$5)</f>
        <v>0</v>
      </c>
      <c r="F33" s="50">
        <f>IF(Inflows!$J$7=0,0,Inflows!F28/Inflows!$J$7*$B$5)</f>
        <v>0</v>
      </c>
      <c r="G33" s="50">
        <f>IF(Inflows!$J$7=0,0,Inflows!G28/Inflows!$J$7*$B$5)</f>
        <v>0</v>
      </c>
      <c r="H33" s="50">
        <f>IF(Inflows!$J$7=0,0,Inflows!H28/Inflows!$J$7*$B$5)</f>
        <v>0</v>
      </c>
      <c r="I33" s="50">
        <f>IF(Inflows!$J$7=0,0,Inflows!I28/Inflows!$J$7*$B$5)</f>
        <v>0</v>
      </c>
      <c r="J33" s="88"/>
      <c r="K33" s="64">
        <f>SUM(B33:J33)</f>
        <v>0</v>
      </c>
      <c r="L33" s="1"/>
    </row>
    <row r="34" spans="1:25" ht="18" x14ac:dyDescent="0.3">
      <c r="A34" s="19" t="s">
        <v>383</v>
      </c>
      <c r="B34" s="50">
        <f>'pay out values'!P80</f>
        <v>0</v>
      </c>
      <c r="C34" s="50">
        <f>'pay out values'!Q80</f>
        <v>0</v>
      </c>
      <c r="D34" s="50">
        <f>'pay out values'!R80</f>
        <v>0</v>
      </c>
      <c r="E34" s="50">
        <f>'pay out values'!S80</f>
        <v>0</v>
      </c>
      <c r="F34" s="50">
        <f>'pay out values'!T80</f>
        <v>0</v>
      </c>
      <c r="G34" s="50">
        <f>'pay out values'!U80</f>
        <v>0</v>
      </c>
      <c r="H34" s="50">
        <f>'pay out values'!V80</f>
        <v>0</v>
      </c>
      <c r="I34" s="50">
        <f>'pay out values'!W80</f>
        <v>0</v>
      </c>
      <c r="J34" s="88"/>
      <c r="K34" s="64">
        <f>SUM(B34:J34)</f>
        <v>0</v>
      </c>
      <c r="O34" s="157" t="s">
        <v>421</v>
      </c>
      <c r="P34" s="157"/>
      <c r="Q34" s="157"/>
      <c r="R34" s="157"/>
      <c r="S34" s="157"/>
      <c r="T34" s="157"/>
      <c r="U34" s="157"/>
      <c r="V34" s="157"/>
      <c r="W34" s="157"/>
      <c r="X34" s="157"/>
      <c r="Y34" s="157"/>
    </row>
    <row r="35" spans="1:25" ht="14.4" x14ac:dyDescent="0.3">
      <c r="A35" s="19" t="s">
        <v>384</v>
      </c>
      <c r="B35" s="50">
        <f>B34</f>
        <v>0</v>
      </c>
      <c r="C35" s="50">
        <f t="shared" ref="C35:I35" si="5">B35+C34</f>
        <v>0</v>
      </c>
      <c r="D35" s="50">
        <f t="shared" si="5"/>
        <v>0</v>
      </c>
      <c r="E35" s="50">
        <f t="shared" si="5"/>
        <v>0</v>
      </c>
      <c r="F35" s="50">
        <f t="shared" si="5"/>
        <v>0</v>
      </c>
      <c r="G35" s="50">
        <f t="shared" si="5"/>
        <v>0</v>
      </c>
      <c r="H35" s="50">
        <f t="shared" si="5"/>
        <v>0</v>
      </c>
      <c r="I35" s="50">
        <f t="shared" si="5"/>
        <v>0</v>
      </c>
      <c r="J35" s="88"/>
      <c r="K35" s="107"/>
    </row>
    <row r="36" spans="1:25" ht="14.4" x14ac:dyDescent="0.3">
      <c r="A36" s="19" t="s">
        <v>385</v>
      </c>
      <c r="B36" s="50">
        <f>B35+SUM($B33:B33)</f>
        <v>0</v>
      </c>
      <c r="C36" s="50">
        <f>C35+SUM($B33:C33)</f>
        <v>0</v>
      </c>
      <c r="D36" s="50">
        <f>D35+SUM($B33:D33)</f>
        <v>0</v>
      </c>
      <c r="E36" s="50">
        <f>E35+SUM($B33:E33)</f>
        <v>0</v>
      </c>
      <c r="F36" s="50">
        <f>F35+SUM($B33:F33)</f>
        <v>0</v>
      </c>
      <c r="G36" s="50">
        <f>G35+SUM($B33:G33)</f>
        <v>0</v>
      </c>
      <c r="H36" s="50">
        <f>H35+SUM($B33:H33)</f>
        <v>0</v>
      </c>
      <c r="I36" s="50">
        <f>I35+SUM($B33:I33)</f>
        <v>0</v>
      </c>
      <c r="J36" s="88"/>
      <c r="K36" s="107"/>
      <c r="O36" s="177" t="s">
        <v>422</v>
      </c>
      <c r="P36" s="178"/>
      <c r="Q36" s="178"/>
      <c r="R36" s="178"/>
      <c r="S36" s="178"/>
      <c r="T36" s="178"/>
      <c r="U36" s="178"/>
      <c r="V36" s="178"/>
    </row>
    <row r="37" spans="1:25" ht="14.4" x14ac:dyDescent="0.3">
      <c r="A37" s="19" t="str">
        <f>"amount above "&amp;TEXT($C$19,"0%")&amp;" ceiling"</f>
        <v>amount above 95% ceiling</v>
      </c>
      <c r="B37" s="50">
        <f t="shared" ref="B37:I37" si="6">IF(B36&gt;$B$19, B36-$B$19, 0)</f>
        <v>0</v>
      </c>
      <c r="C37" s="50">
        <f t="shared" si="6"/>
        <v>0</v>
      </c>
      <c r="D37" s="50">
        <f t="shared" si="6"/>
        <v>0</v>
      </c>
      <c r="E37" s="50">
        <f t="shared" si="6"/>
        <v>0</v>
      </c>
      <c r="F37" s="50">
        <f t="shared" si="6"/>
        <v>0</v>
      </c>
      <c r="G37" s="50">
        <f t="shared" si="6"/>
        <v>0</v>
      </c>
      <c r="H37" s="50">
        <f t="shared" si="6"/>
        <v>0</v>
      </c>
      <c r="I37" s="50">
        <f t="shared" si="6"/>
        <v>0</v>
      </c>
      <c r="J37" s="88"/>
      <c r="K37" s="107"/>
      <c r="O37" s="83" t="s">
        <v>423</v>
      </c>
      <c r="P37" s="70" t="s">
        <v>424</v>
      </c>
      <c r="Q37" s="70" t="s">
        <v>425</v>
      </c>
      <c r="R37" s="70" t="s">
        <v>426</v>
      </c>
      <c r="S37" s="70" t="s">
        <v>427</v>
      </c>
      <c r="T37" s="70" t="s">
        <v>428</v>
      </c>
      <c r="U37" s="70" t="s">
        <v>429</v>
      </c>
      <c r="V37" s="70" t="s">
        <v>319</v>
      </c>
    </row>
    <row r="38" spans="1:25" ht="14.4" x14ac:dyDescent="0.3">
      <c r="A38" s="19" t="str">
        <f>"clearance of pre-financing AND impact of "&amp;TEXT($C$19,"0%")&amp;" ceiling"</f>
        <v>clearance of pre-financing AND impact of 95% ceiling</v>
      </c>
      <c r="B38" s="50">
        <f>MIN(B36,$B$19)-B33-B34</f>
        <v>0</v>
      </c>
      <c r="C38" s="50">
        <f t="shared" ref="C38:I38" si="7">MIN(C36,$B$19)-MIN(B36,$B$19)-C33-C34</f>
        <v>0</v>
      </c>
      <c r="D38" s="50">
        <f t="shared" si="7"/>
        <v>0</v>
      </c>
      <c r="E38" s="50">
        <f t="shared" si="7"/>
        <v>0</v>
      </c>
      <c r="F38" s="50">
        <f t="shared" si="7"/>
        <v>0</v>
      </c>
      <c r="G38" s="50">
        <f t="shared" si="7"/>
        <v>0</v>
      </c>
      <c r="H38" s="50">
        <f t="shared" si="7"/>
        <v>0</v>
      </c>
      <c r="I38" s="50">
        <f t="shared" si="7"/>
        <v>0</v>
      </c>
      <c r="J38" s="88"/>
      <c r="K38" s="64">
        <f>SUM(B38:J38)</f>
        <v>0</v>
      </c>
      <c r="O38" s="83" t="s">
        <v>430</v>
      </c>
      <c r="P38" s="111">
        <v>0.05</v>
      </c>
      <c r="Q38" s="111">
        <v>0.15</v>
      </c>
      <c r="R38" s="111">
        <v>0.35</v>
      </c>
      <c r="S38" s="111">
        <v>0.25</v>
      </c>
      <c r="T38" s="111">
        <v>0.15</v>
      </c>
      <c r="U38" s="111">
        <v>0.05</v>
      </c>
      <c r="V38" s="100">
        <f>SUM(P38:U38)</f>
        <v>1</v>
      </c>
    </row>
    <row r="39" spans="1:25" x14ac:dyDescent="0.3">
      <c r="A39" s="19" t="str">
        <f>TEXT(1-$C$19,"0%")&amp;" paid after programme closure"</f>
        <v>5% paid after programme closure</v>
      </c>
      <c r="B39" s="89"/>
      <c r="C39" s="90"/>
      <c r="D39" s="90"/>
      <c r="E39" s="90"/>
      <c r="F39" s="90"/>
      <c r="G39" s="90"/>
      <c r="H39" s="90"/>
      <c r="I39" s="91"/>
      <c r="J39" s="50">
        <f>B15</f>
        <v>0</v>
      </c>
      <c r="K39" s="64">
        <f>SUM(B39:J39)</f>
        <v>0</v>
      </c>
      <c r="O39" s="83" t="s">
        <v>431</v>
      </c>
      <c r="P39" s="95">
        <f t="shared" ref="P39:U39" si="8">P38*$T$42</f>
        <v>0</v>
      </c>
      <c r="Q39" s="95">
        <f t="shared" si="8"/>
        <v>0</v>
      </c>
      <c r="R39" s="95">
        <f t="shared" si="8"/>
        <v>0</v>
      </c>
      <c r="S39" s="95">
        <f t="shared" si="8"/>
        <v>0</v>
      </c>
      <c r="T39" s="95">
        <f t="shared" si="8"/>
        <v>0</v>
      </c>
      <c r="U39" s="95">
        <f t="shared" si="8"/>
        <v>0</v>
      </c>
      <c r="V39" s="95">
        <f>SUM(P39:U39)</f>
        <v>0</v>
      </c>
    </row>
    <row r="40" spans="1:25" ht="14.4" x14ac:dyDescent="0.3">
      <c r="A40" s="19" t="s">
        <v>386</v>
      </c>
      <c r="B40" s="64">
        <f t="shared" ref="B40:J40" si="9">B34+B38+B39</f>
        <v>0</v>
      </c>
      <c r="C40" s="64">
        <f t="shared" si="9"/>
        <v>0</v>
      </c>
      <c r="D40" s="64">
        <f t="shared" si="9"/>
        <v>0</v>
      </c>
      <c r="E40" s="64">
        <f t="shared" si="9"/>
        <v>0</v>
      </c>
      <c r="F40" s="64">
        <f t="shared" si="9"/>
        <v>0</v>
      </c>
      <c r="G40" s="64">
        <f t="shared" si="9"/>
        <v>0</v>
      </c>
      <c r="H40" s="64">
        <f t="shared" si="9"/>
        <v>0</v>
      </c>
      <c r="I40" s="64">
        <f t="shared" si="9"/>
        <v>0</v>
      </c>
      <c r="J40" s="64">
        <f t="shared" si="9"/>
        <v>0</v>
      </c>
      <c r="K40" s="64">
        <f>SUM(B40:J40)</f>
        <v>0</v>
      </c>
      <c r="L40" s="1"/>
    </row>
    <row r="41" spans="1:25" ht="14.4" x14ac:dyDescent="0.3">
      <c r="A41" s="19" t="s">
        <v>387</v>
      </c>
      <c r="B41" s="93">
        <f t="shared" ref="B41:I41" si="10">IF(B34=0,0,B40/B34)</f>
        <v>0</v>
      </c>
      <c r="C41" s="93">
        <f t="shared" si="10"/>
        <v>0</v>
      </c>
      <c r="D41" s="93">
        <f t="shared" si="10"/>
        <v>0</v>
      </c>
      <c r="E41" s="93">
        <f t="shared" si="10"/>
        <v>0</v>
      </c>
      <c r="F41" s="93">
        <f t="shared" si="10"/>
        <v>0</v>
      </c>
      <c r="G41" s="93">
        <f t="shared" si="10"/>
        <v>0</v>
      </c>
      <c r="H41" s="93">
        <f t="shared" si="10"/>
        <v>0</v>
      </c>
      <c r="I41" s="93">
        <f t="shared" si="10"/>
        <v>0</v>
      </c>
      <c r="J41" s="98"/>
      <c r="K41" s="98"/>
      <c r="L41" s="1"/>
      <c r="P41" s="13" t="s">
        <v>432</v>
      </c>
      <c r="T41" t="s">
        <v>433</v>
      </c>
    </row>
    <row r="42" spans="1:25" ht="14.4" x14ac:dyDescent="0.3">
      <c r="A42" s="106" t="s">
        <v>434</v>
      </c>
      <c r="O42" s="112" t="s">
        <v>435</v>
      </c>
      <c r="P42" s="113"/>
      <c r="Q42" s="112" t="s">
        <v>436</v>
      </c>
      <c r="R42" s="113"/>
      <c r="S42" s="114"/>
      <c r="T42" s="110"/>
    </row>
    <row r="43" spans="1:25" ht="14.4" x14ac:dyDescent="0.3">
      <c r="O43" s="112" t="s">
        <v>437</v>
      </c>
      <c r="P43" s="113"/>
      <c r="Q43" s="112" t="s">
        <v>438</v>
      </c>
      <c r="R43" s="113"/>
      <c r="S43" s="114"/>
      <c r="T43" s="114"/>
    </row>
    <row r="44" spans="1:25" ht="14.4" x14ac:dyDescent="0.3">
      <c r="A44" s="83" t="s">
        <v>404</v>
      </c>
      <c r="B44" s="70">
        <v>2028</v>
      </c>
      <c r="C44" s="70">
        <v>2029</v>
      </c>
      <c r="D44" s="70">
        <v>2030</v>
      </c>
      <c r="E44" s="70">
        <v>2031</v>
      </c>
      <c r="F44" s="70">
        <v>2032</v>
      </c>
      <c r="G44" s="70">
        <v>2033</v>
      </c>
      <c r="H44" s="70">
        <v>2034</v>
      </c>
      <c r="I44" s="70">
        <v>2035</v>
      </c>
      <c r="J44" s="70" t="s">
        <v>362</v>
      </c>
      <c r="K44" s="70" t="s">
        <v>319</v>
      </c>
      <c r="O44" s="112" t="s">
        <v>439</v>
      </c>
      <c r="P44" s="113"/>
      <c r="Q44" s="112" t="s">
        <v>440</v>
      </c>
      <c r="R44" s="113"/>
      <c r="S44" s="114"/>
      <c r="T44" s="114" t="s">
        <v>441</v>
      </c>
    </row>
    <row r="45" spans="1:25" ht="14.4" x14ac:dyDescent="0.3">
      <c r="A45" s="19" t="s">
        <v>442</v>
      </c>
      <c r="B45" s="50">
        <f t="shared" ref="B45:J45" si="11">B33+B40</f>
        <v>0</v>
      </c>
      <c r="C45" s="50">
        <f t="shared" si="11"/>
        <v>0</v>
      </c>
      <c r="D45" s="50">
        <f t="shared" si="11"/>
        <v>0</v>
      </c>
      <c r="E45" s="50">
        <f t="shared" si="11"/>
        <v>0</v>
      </c>
      <c r="F45" s="50">
        <f t="shared" si="11"/>
        <v>0</v>
      </c>
      <c r="G45" s="50">
        <f t="shared" si="11"/>
        <v>0</v>
      </c>
      <c r="H45" s="50">
        <f t="shared" si="11"/>
        <v>0</v>
      </c>
      <c r="I45" s="50">
        <f t="shared" si="11"/>
        <v>0</v>
      </c>
      <c r="J45" s="50">
        <f t="shared" si="11"/>
        <v>0</v>
      </c>
      <c r="K45" s="64">
        <f>SUM(B45:J45)</f>
        <v>0</v>
      </c>
    </row>
    <row r="46" spans="1:25" ht="14.4" x14ac:dyDescent="0.3">
      <c r="A46" s="19" t="s">
        <v>443</v>
      </c>
      <c r="B46" s="50">
        <f t="shared" ref="B46:J46" si="12">P30</f>
        <v>0</v>
      </c>
      <c r="C46" s="50">
        <f t="shared" si="12"/>
        <v>0</v>
      </c>
      <c r="D46" s="50">
        <f t="shared" si="12"/>
        <v>0</v>
      </c>
      <c r="E46" s="50">
        <f t="shared" si="12"/>
        <v>0</v>
      </c>
      <c r="F46" s="50">
        <f t="shared" si="12"/>
        <v>0</v>
      </c>
      <c r="G46" s="50">
        <f t="shared" si="12"/>
        <v>0</v>
      </c>
      <c r="H46" s="50">
        <f t="shared" si="12"/>
        <v>0</v>
      </c>
      <c r="I46" s="50">
        <f t="shared" si="12"/>
        <v>0</v>
      </c>
      <c r="J46" s="50">
        <f t="shared" si="12"/>
        <v>0</v>
      </c>
      <c r="K46" s="64">
        <f>SUM(B46:J46)</f>
        <v>0</v>
      </c>
      <c r="O46" s="83" t="s">
        <v>409</v>
      </c>
      <c r="P46" s="70">
        <v>2028</v>
      </c>
      <c r="Q46" s="70">
        <v>2029</v>
      </c>
      <c r="R46" s="70">
        <v>2030</v>
      </c>
      <c r="S46" s="70">
        <v>2031</v>
      </c>
      <c r="T46" s="70">
        <v>2032</v>
      </c>
      <c r="U46" s="70">
        <v>2033</v>
      </c>
      <c r="V46" s="70">
        <v>2034</v>
      </c>
      <c r="W46" s="70">
        <v>2035</v>
      </c>
      <c r="X46" s="70" t="s">
        <v>362</v>
      </c>
      <c r="Y46" s="70" t="s">
        <v>319</v>
      </c>
    </row>
    <row r="47" spans="1:25" ht="14.4" x14ac:dyDescent="0.3">
      <c r="A47" s="19" t="s">
        <v>444</v>
      </c>
      <c r="B47" s="50">
        <f t="shared" ref="B47:J47" si="13">B45-B46</f>
        <v>0</v>
      </c>
      <c r="C47" s="50">
        <f t="shared" si="13"/>
        <v>0</v>
      </c>
      <c r="D47" s="50">
        <f t="shared" si="13"/>
        <v>0</v>
      </c>
      <c r="E47" s="50">
        <f t="shared" si="13"/>
        <v>0</v>
      </c>
      <c r="F47" s="50">
        <f t="shared" si="13"/>
        <v>0</v>
      </c>
      <c r="G47" s="50">
        <f t="shared" si="13"/>
        <v>0</v>
      </c>
      <c r="H47" s="50">
        <f t="shared" si="13"/>
        <v>0</v>
      </c>
      <c r="I47" s="50">
        <f t="shared" si="13"/>
        <v>0</v>
      </c>
      <c r="J47" s="50">
        <f t="shared" si="13"/>
        <v>0</v>
      </c>
      <c r="K47" s="98"/>
      <c r="O47" s="113" t="s">
        <v>412</v>
      </c>
      <c r="P47" s="110"/>
      <c r="Q47" s="110">
        <f>$P$42*P$39</f>
        <v>0</v>
      </c>
      <c r="R47" s="110">
        <f>$P$42*(Q$39+R$39)</f>
        <v>0</v>
      </c>
      <c r="S47" s="110">
        <f>$P$42*(S$39+T$39)</f>
        <v>0</v>
      </c>
      <c r="T47" s="110">
        <f>$P$42*U$39</f>
        <v>0</v>
      </c>
      <c r="U47" s="110"/>
      <c r="V47" s="110"/>
      <c r="W47" s="110"/>
      <c r="X47" s="110"/>
      <c r="Y47" s="99">
        <f t="shared" ref="Y47:Y53" si="14">SUM(P47:X47)</f>
        <v>0</v>
      </c>
    </row>
    <row r="48" spans="1:25" ht="14.4" x14ac:dyDescent="0.3">
      <c r="A48" s="19" t="s">
        <v>445</v>
      </c>
      <c r="B48" s="50">
        <f>B47</f>
        <v>0</v>
      </c>
      <c r="C48" s="50">
        <f t="shared" ref="C48:J48" si="15">B48+C47</f>
        <v>0</v>
      </c>
      <c r="D48" s="50">
        <f t="shared" si="15"/>
        <v>0</v>
      </c>
      <c r="E48" s="50">
        <f t="shared" si="15"/>
        <v>0</v>
      </c>
      <c r="F48" s="50">
        <f t="shared" si="15"/>
        <v>0</v>
      </c>
      <c r="G48" s="50">
        <f t="shared" si="15"/>
        <v>0</v>
      </c>
      <c r="H48" s="50">
        <f t="shared" si="15"/>
        <v>0</v>
      </c>
      <c r="I48" s="50">
        <f t="shared" si="15"/>
        <v>0</v>
      </c>
      <c r="J48" s="50">
        <f t="shared" si="15"/>
        <v>0</v>
      </c>
      <c r="K48" s="98"/>
      <c r="O48" s="113" t="s">
        <v>413</v>
      </c>
      <c r="P48" s="110"/>
      <c r="Q48" s="110"/>
      <c r="R48" s="110">
        <f>$P$43*P$39</f>
        <v>0</v>
      </c>
      <c r="S48" s="110">
        <f>$P$43*(Q$39+R$39)</f>
        <v>0</v>
      </c>
      <c r="T48" s="110">
        <f>$P$43*(S$39+T$39)</f>
        <v>0</v>
      </c>
      <c r="U48" s="110">
        <f>$P$43*U$39</f>
        <v>0</v>
      </c>
      <c r="V48" s="110"/>
      <c r="W48" s="110"/>
      <c r="X48" s="110"/>
      <c r="Y48" s="99">
        <f t="shared" si="14"/>
        <v>0</v>
      </c>
    </row>
    <row r="49" spans="1:25" x14ac:dyDescent="0.3">
      <c r="O49" s="113" t="s">
        <v>414</v>
      </c>
      <c r="P49" s="110"/>
      <c r="Q49" s="110"/>
      <c r="R49" s="110"/>
      <c r="S49" s="110">
        <f>$P$44*P$39</f>
        <v>0</v>
      </c>
      <c r="T49" s="110">
        <f>$P$44*(Q$39+R$39)</f>
        <v>0</v>
      </c>
      <c r="U49" s="110">
        <f>$P$44*(S$39+T$39)</f>
        <v>0</v>
      </c>
      <c r="V49" s="110">
        <f>$P$44*U$39</f>
        <v>0</v>
      </c>
      <c r="W49" s="110"/>
      <c r="X49" s="110"/>
      <c r="Y49" s="99">
        <f t="shared" si="14"/>
        <v>0</v>
      </c>
    </row>
    <row r="50" spans="1:25" x14ac:dyDescent="0.3">
      <c r="O50" s="113" t="s">
        <v>415</v>
      </c>
      <c r="P50" s="110"/>
      <c r="Q50" s="110"/>
      <c r="R50" s="110"/>
      <c r="S50" s="110"/>
      <c r="T50" s="110"/>
      <c r="U50" s="110"/>
      <c r="V50" s="110"/>
      <c r="W50" s="110"/>
      <c r="X50" s="110"/>
      <c r="Y50" s="99">
        <f t="shared" si="14"/>
        <v>0</v>
      </c>
    </row>
    <row r="51" spans="1:25" x14ac:dyDescent="0.3">
      <c r="A51" s="101" t="s">
        <v>446</v>
      </c>
      <c r="B51" s="70">
        <v>2028</v>
      </c>
      <c r="C51" s="70">
        <v>2029</v>
      </c>
      <c r="D51" s="70">
        <v>2030</v>
      </c>
      <c r="E51" s="70">
        <v>2031</v>
      </c>
      <c r="F51" s="70">
        <v>2032</v>
      </c>
      <c r="G51" s="70">
        <v>2033</v>
      </c>
      <c r="H51" s="70">
        <v>2034</v>
      </c>
      <c r="I51" s="70">
        <v>2035</v>
      </c>
      <c r="J51" s="70" t="s">
        <v>362</v>
      </c>
      <c r="O51" s="113" t="s">
        <v>416</v>
      </c>
      <c r="P51" s="110"/>
      <c r="Q51" s="110"/>
      <c r="R51" s="110"/>
      <c r="S51" s="110"/>
      <c r="T51" s="110"/>
      <c r="U51" s="110"/>
      <c r="V51" s="110"/>
      <c r="W51" s="110"/>
      <c r="X51" s="110"/>
      <c r="Y51" s="99">
        <f t="shared" si="14"/>
        <v>0</v>
      </c>
    </row>
    <row r="52" spans="1:25" x14ac:dyDescent="0.3">
      <c r="A52" s="19" t="s">
        <v>405</v>
      </c>
      <c r="B52" s="50">
        <f>B45</f>
        <v>0</v>
      </c>
      <c r="C52" s="50">
        <f t="shared" ref="C52:J53" si="16">B52+C45</f>
        <v>0</v>
      </c>
      <c r="D52" s="50">
        <f t="shared" si="16"/>
        <v>0</v>
      </c>
      <c r="E52" s="50">
        <f t="shared" si="16"/>
        <v>0</v>
      </c>
      <c r="F52" s="50">
        <f t="shared" si="16"/>
        <v>0</v>
      </c>
      <c r="G52" s="50">
        <f t="shared" si="16"/>
        <v>0</v>
      </c>
      <c r="H52" s="50">
        <f t="shared" si="16"/>
        <v>0</v>
      </c>
      <c r="I52" s="50">
        <f t="shared" si="16"/>
        <v>0</v>
      </c>
      <c r="J52" s="50">
        <f t="shared" si="16"/>
        <v>0</v>
      </c>
      <c r="K52" s="1"/>
      <c r="O52" s="113" t="s">
        <v>417</v>
      </c>
      <c r="P52" s="110"/>
      <c r="Q52" s="110"/>
      <c r="R52" s="110"/>
      <c r="S52" s="110"/>
      <c r="T52" s="110"/>
      <c r="U52" s="110"/>
      <c r="V52" s="110"/>
      <c r="W52" s="110"/>
      <c r="X52" s="110"/>
      <c r="Y52" s="99">
        <f t="shared" si="14"/>
        <v>0</v>
      </c>
    </row>
    <row r="53" spans="1:25" x14ac:dyDescent="0.3">
      <c r="A53" s="19" t="s">
        <v>406</v>
      </c>
      <c r="B53" s="50">
        <f>B46</f>
        <v>0</v>
      </c>
      <c r="C53" s="50">
        <f t="shared" si="16"/>
        <v>0</v>
      </c>
      <c r="D53" s="50">
        <f t="shared" si="16"/>
        <v>0</v>
      </c>
      <c r="E53" s="50">
        <f t="shared" si="16"/>
        <v>0</v>
      </c>
      <c r="F53" s="50">
        <f t="shared" si="16"/>
        <v>0</v>
      </c>
      <c r="G53" s="50">
        <f t="shared" si="16"/>
        <v>0</v>
      </c>
      <c r="H53" s="50">
        <f t="shared" si="16"/>
        <v>0</v>
      </c>
      <c r="I53" s="50">
        <f t="shared" si="16"/>
        <v>0</v>
      </c>
      <c r="J53" s="50">
        <f t="shared" si="16"/>
        <v>0</v>
      </c>
      <c r="O53" s="19" t="s">
        <v>448</v>
      </c>
      <c r="P53" s="99">
        <f t="shared" ref="P53:X53" si="17">SUM(P47:P52)</f>
        <v>0</v>
      </c>
      <c r="Q53" s="99">
        <f t="shared" si="17"/>
        <v>0</v>
      </c>
      <c r="R53" s="99">
        <f t="shared" si="17"/>
        <v>0</v>
      </c>
      <c r="S53" s="99">
        <f t="shared" si="17"/>
        <v>0</v>
      </c>
      <c r="T53" s="99">
        <f t="shared" si="17"/>
        <v>0</v>
      </c>
      <c r="U53" s="99">
        <f t="shared" si="17"/>
        <v>0</v>
      </c>
      <c r="V53" s="99">
        <f t="shared" si="17"/>
        <v>0</v>
      </c>
      <c r="W53" s="99">
        <f t="shared" si="17"/>
        <v>0</v>
      </c>
      <c r="X53" s="99">
        <f t="shared" si="17"/>
        <v>0</v>
      </c>
      <c r="Y53" s="99">
        <f t="shared" si="14"/>
        <v>0</v>
      </c>
    </row>
    <row r="62" spans="1:25" x14ac:dyDescent="0.3">
      <c r="T62" s="81"/>
    </row>
    <row r="63" spans="1:25" x14ac:dyDescent="0.3">
      <c r="A63" s="82"/>
    </row>
    <row r="64" spans="1:25" x14ac:dyDescent="0.3">
      <c r="A64" s="86"/>
    </row>
    <row r="65" spans="1:1" x14ac:dyDescent="0.3">
      <c r="A65" s="14"/>
    </row>
    <row r="66" spans="1:1" x14ac:dyDescent="0.3">
      <c r="A66" s="13"/>
    </row>
    <row r="67" spans="1:1" x14ac:dyDescent="0.3">
      <c r="A67" s="13"/>
    </row>
  </sheetData>
  <sheetProtection selectLockedCells="1"/>
  <mergeCells count="5">
    <mergeCell ref="A1:K1"/>
    <mergeCell ref="A2:K2"/>
    <mergeCell ref="O20:Y20"/>
    <mergeCell ref="O34:Y34"/>
    <mergeCell ref="O36:V36"/>
  </mergeCells>
  <conditionalFormatting sqref="A1:Y67">
    <cfRule type="expression" dxfId="23" priority="100">
      <formula>ISERROR(A1)</formula>
    </cfRule>
  </conditionalFormatting>
  <conditionalFormatting sqref="B36:I36">
    <cfRule type="cellIs" dxfId="22" priority="1" operator="greaterThan">
      <formula>$B$19</formula>
    </cfRule>
  </conditionalFormatting>
  <conditionalFormatting sqref="K30">
    <cfRule type="cellIs" dxfId="21" priority="2" operator="equal">
      <formula>$B$5</formula>
    </cfRule>
  </conditionalFormatting>
  <dataValidations count="5">
    <dataValidation type="decimal" operator="greaterThanOrEqual" allowBlank="1" showInputMessage="1" showErrorMessage="1" errorTitle="Amount required" error="Enter an amount in EUR, 0 or more." promptTitle="Average project budget (EUR)" prompt="Enter the average EU budget of a project in EUR." sqref="T42" xr:uid="{C1690454-1676-43F9-B853-3A8C5F6AEE72}">
      <formula1>0</formula1>
    </dataValidation>
    <dataValidation type="decimal" operator="greaterThanOrEqual" allowBlank="1" showInputMessage="1" showErrorMessage="1" errorTitle="Number required" error="Enter a number, 0 or more." promptTitle="Number of projects per call" prompt="Enter the number of projects expected per call." sqref="P42:P44 R42:R44" xr:uid="{28F3B97C-995C-4C3D-8D49-2B0572CB5DE9}">
      <formula1>0</formula1>
    </dataValidation>
    <dataValidation type="decimal" allowBlank="1" showInputMessage="1" showErrorMessage="1" errorTitle="Percentage required" error="Enter a percentage between 0% and 100%." promptTitle="Spending profile (%)" prompt="Enter the share of the project budget spent in each half year of a regular 36 month project. The six values must add up to 100%." sqref="P38:U38" xr:uid="{20B294DE-52F0-4DA5-AFBE-02A9693E6FB0}">
      <formula1>0</formula1>
      <formula2>1</formula2>
    </dataValidation>
    <dataValidation type="decimal" operator="greaterThanOrEqual" allowBlank="1" showInputMessage="1" showErrorMessage="1" errorTitle="Amount required" error="Enter an amount in EUR, 0 or more." promptTitle="Payments to projects (EUR)" prompt="Enter the payments to projects per call and year in EUR (2028 to 2035 and after closure), for example copied from the mini calculator on the right. They feed the outflows of this sheet." sqref="P24:X29" xr:uid="{76026359-98D4-490D-A066-953992E8D95C}">
      <formula1>0</formula1>
    </dataValidation>
    <dataValidation allowBlank="1" showInputMessage="1" promptTitle="Call or project group" prompt="Optional. Name of the call or group of projects. The name is shown in the table on the left." sqref="O24:O29" xr:uid="{00000000-0002-0000-0900-000004000000}"/>
  </dataValidation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3CB57-B0CA-4BAF-8B5E-043C4BA3D714}">
  <dimension ref="A1:Y67"/>
  <sheetViews>
    <sheetView topLeftCell="A30" zoomScaleNormal="100" workbookViewId="0">
      <selection activeCell="K66" sqref="K66"/>
    </sheetView>
  </sheetViews>
  <sheetFormatPr defaultRowHeight="15.05" x14ac:dyDescent="0.3"/>
  <cols>
    <col min="1" max="1" width="44" customWidth="1"/>
    <col min="2" max="2" width="14.5546875" customWidth="1"/>
    <col min="3" max="3" width="13.5546875" customWidth="1"/>
    <col min="4" max="4" width="13.109375" customWidth="1"/>
    <col min="5" max="5" width="14.88671875" customWidth="1"/>
    <col min="6" max="6" width="14" customWidth="1"/>
    <col min="7" max="7" width="15.109375" customWidth="1"/>
    <col min="8" max="8" width="13.44140625" customWidth="1"/>
    <col min="9" max="9" width="14.44140625" customWidth="1"/>
    <col min="10" max="10" width="14.88671875" customWidth="1"/>
    <col min="11" max="11" width="14.109375" customWidth="1"/>
    <col min="15" max="15" width="19.5546875" bestFit="1" customWidth="1"/>
    <col min="20" max="20" width="14" bestFit="1" customWidth="1"/>
    <col min="25" max="25" width="10.109375" bestFit="1" customWidth="1"/>
    <col min="26" max="26" width="13.5546875" bestFit="1" customWidth="1"/>
    <col min="27" max="27" width="10.109375" bestFit="1" customWidth="1"/>
  </cols>
  <sheetData>
    <row r="1" spans="1:14" ht="18" x14ac:dyDescent="0.3">
      <c r="A1" s="157" t="s">
        <v>403</v>
      </c>
      <c r="B1" s="157"/>
      <c r="C1" s="157"/>
      <c r="D1" s="157"/>
      <c r="E1" s="157"/>
      <c r="F1" s="157"/>
      <c r="G1" s="157"/>
      <c r="H1" s="157"/>
      <c r="I1" s="157"/>
      <c r="J1" s="157"/>
      <c r="K1" s="157"/>
    </row>
    <row r="2" spans="1:14" ht="18" x14ac:dyDescent="0.3">
      <c r="A2" s="157" t="s">
        <v>407</v>
      </c>
      <c r="B2" s="157"/>
      <c r="C2" s="157"/>
      <c r="D2" s="157"/>
      <c r="E2" s="157"/>
      <c r="F2" s="157"/>
      <c r="G2" s="157"/>
      <c r="H2" s="157"/>
      <c r="I2" s="157"/>
      <c r="J2" s="157"/>
      <c r="K2" s="157"/>
    </row>
    <row r="3" spans="1:14" ht="14.4" x14ac:dyDescent="0.3">
      <c r="A3" s="5"/>
    </row>
    <row r="4" spans="1:14" ht="14.4" x14ac:dyDescent="0.3">
      <c r="B4" s="6" t="s">
        <v>408</v>
      </c>
      <c r="C4" s="6" t="s">
        <v>297</v>
      </c>
    </row>
    <row r="5" spans="1:14" ht="14.4" x14ac:dyDescent="0.3">
      <c r="A5" s="6" t="str">
        <f>'pay out values'!B30</f>
        <v>Measure 4</v>
      </c>
      <c r="B5" s="50">
        <f>'pay out values'!D30</f>
        <v>0</v>
      </c>
      <c r="C5" s="102">
        <f>'pay out values'!C30</f>
        <v>0</v>
      </c>
      <c r="K5" s="3"/>
    </row>
    <row r="6" spans="1:14" ht="14.4" x14ac:dyDescent="0.3">
      <c r="C6" s="3"/>
      <c r="D6" s="3"/>
      <c r="E6" s="87"/>
      <c r="F6" s="3"/>
      <c r="K6" s="3"/>
      <c r="N6" s="13"/>
    </row>
    <row r="7" spans="1:14" x14ac:dyDescent="0.3">
      <c r="A7" s="69" t="s">
        <v>368</v>
      </c>
      <c r="B7" s="83" t="s">
        <v>369</v>
      </c>
      <c r="C7" s="84" t="s">
        <v>370</v>
      </c>
      <c r="D7" s="3"/>
      <c r="E7" s="87"/>
      <c r="F7" s="3"/>
      <c r="K7" s="3"/>
      <c r="N7" s="13"/>
    </row>
    <row r="8" spans="1:14" ht="14.4" x14ac:dyDescent="0.3">
      <c r="A8" s="19" t="s">
        <v>371</v>
      </c>
      <c r="B8" s="50">
        <f>$B$5*C8</f>
        <v>0</v>
      </c>
      <c r="C8" s="102">
        <f>'N+1 '!J15</f>
        <v>0.12</v>
      </c>
      <c r="D8" s="3"/>
      <c r="E8" s="87"/>
      <c r="F8" s="3"/>
      <c r="K8" s="3"/>
    </row>
    <row r="9" spans="1:14" ht="14.4" x14ac:dyDescent="0.3">
      <c r="A9" s="19" t="s">
        <v>372</v>
      </c>
      <c r="B9" s="50">
        <f>$B$5*C9</f>
        <v>0</v>
      </c>
      <c r="C9" s="102">
        <f>1-C8</f>
        <v>0.88</v>
      </c>
      <c r="D9" s="3"/>
      <c r="E9" s="87"/>
      <c r="F9" s="3"/>
      <c r="K9" s="3"/>
    </row>
    <row r="10" spans="1:14" x14ac:dyDescent="0.3">
      <c r="A10" s="19" t="s">
        <v>286</v>
      </c>
      <c r="B10" s="50">
        <f>SUM(B8:B9)</f>
        <v>0</v>
      </c>
      <c r="C10" s="102">
        <f>SUM(C8:C9)</f>
        <v>1</v>
      </c>
      <c r="D10" s="3"/>
      <c r="E10" s="87"/>
      <c r="F10" s="3"/>
      <c r="K10" s="3"/>
    </row>
    <row r="11" spans="1:14" ht="14.4" x14ac:dyDescent="0.3">
      <c r="D11" s="3"/>
      <c r="E11" s="87"/>
      <c r="F11" s="3"/>
      <c r="K11" s="3"/>
    </row>
    <row r="12" spans="1:14" x14ac:dyDescent="0.3">
      <c r="A12" s="69" t="s">
        <v>373</v>
      </c>
      <c r="B12" s="83" t="s">
        <v>369</v>
      </c>
      <c r="C12" s="84" t="s">
        <v>370</v>
      </c>
      <c r="D12" s="3"/>
      <c r="E12" s="87"/>
      <c r="F12" s="3"/>
      <c r="K12" s="3"/>
    </row>
    <row r="13" spans="1:14" ht="14.4" x14ac:dyDescent="0.3">
      <c r="A13" s="19" t="s">
        <v>371</v>
      </c>
      <c r="B13" s="50">
        <f>$B$5*C13</f>
        <v>0</v>
      </c>
      <c r="C13" s="102">
        <f>C8</f>
        <v>0.12</v>
      </c>
      <c r="D13" s="3"/>
      <c r="E13" s="87"/>
      <c r="F13" s="3"/>
      <c r="K13" s="3"/>
    </row>
    <row r="14" spans="1:14" ht="14.4" x14ac:dyDescent="0.3">
      <c r="A14" s="19" t="s">
        <v>372</v>
      </c>
      <c r="B14" s="50">
        <f>$B$5*C14</f>
        <v>0</v>
      </c>
      <c r="C14" s="102">
        <f>C19-C8</f>
        <v>0.83</v>
      </c>
      <c r="D14" s="3"/>
      <c r="E14" s="87"/>
      <c r="F14" s="3"/>
      <c r="K14" s="3"/>
    </row>
    <row r="15" spans="1:14" ht="14.4" x14ac:dyDescent="0.3">
      <c r="A15" s="19" t="s">
        <v>375</v>
      </c>
      <c r="B15" s="50">
        <f>$B$5*C15</f>
        <v>0</v>
      </c>
      <c r="C15" s="102">
        <f>1-C19</f>
        <v>5.0000000000000044E-2</v>
      </c>
      <c r="D15" s="3"/>
      <c r="E15" s="87"/>
      <c r="K15" s="3"/>
      <c r="M15" s="3"/>
    </row>
    <row r="16" spans="1:14" x14ac:dyDescent="0.3">
      <c r="A16" s="19" t="s">
        <v>286</v>
      </c>
      <c r="B16" s="50">
        <f>SUM(B13:B15)</f>
        <v>0</v>
      </c>
      <c r="C16" s="102">
        <f>SUM(C13:C15)</f>
        <v>1</v>
      </c>
      <c r="D16" s="3"/>
      <c r="E16" s="87"/>
      <c r="F16" s="3"/>
      <c r="K16" s="3"/>
    </row>
    <row r="17" spans="1:25" ht="14.4" x14ac:dyDescent="0.3">
      <c r="E17" s="87"/>
      <c r="F17" s="3"/>
      <c r="K17" s="3"/>
      <c r="N17" s="13"/>
    </row>
    <row r="18" spans="1:25" x14ac:dyDescent="0.3">
      <c r="A18" s="83" t="s">
        <v>376</v>
      </c>
      <c r="B18" s="83" t="s">
        <v>369</v>
      </c>
      <c r="C18" s="84" t="s">
        <v>370</v>
      </c>
      <c r="D18" s="70" t="s">
        <v>377</v>
      </c>
      <c r="E18" s="87"/>
      <c r="F18" s="3"/>
      <c r="K18" s="3"/>
      <c r="N18" s="13"/>
    </row>
    <row r="19" spans="1:25" ht="14.4" x14ac:dyDescent="0.3">
      <c r="A19" s="19" t="str">
        <f>"Payment ceiling at "&amp;TEXT(C19,"0%")</f>
        <v>Payment ceiling at 95%</v>
      </c>
      <c r="B19" s="50">
        <f>B5*C19</f>
        <v>0</v>
      </c>
      <c r="C19" s="103">
        <f>Inflows!C22</f>
        <v>0.95</v>
      </c>
      <c r="D19" s="50">
        <f>B5-B19</f>
        <v>0</v>
      </c>
      <c r="E19" s="87"/>
      <c r="F19" s="3"/>
      <c r="K19" s="3"/>
      <c r="N19" s="13"/>
    </row>
    <row r="20" spans="1:25" ht="18" x14ac:dyDescent="0.3">
      <c r="A20" s="19" t="s">
        <v>379</v>
      </c>
      <c r="B20" s="98"/>
      <c r="C20" s="103">
        <f>C8</f>
        <v>0.12</v>
      </c>
      <c r="D20" s="50">
        <f>B8</f>
        <v>0</v>
      </c>
      <c r="E20" s="87"/>
      <c r="K20" s="3"/>
      <c r="N20" s="13"/>
      <c r="O20" s="157" t="s">
        <v>409</v>
      </c>
      <c r="P20" s="157"/>
      <c r="Q20" s="157"/>
      <c r="R20" s="157"/>
      <c r="S20" s="157"/>
      <c r="T20" s="157"/>
      <c r="U20" s="157"/>
      <c r="V20" s="157"/>
      <c r="W20" s="157"/>
      <c r="X20" s="157"/>
      <c r="Y20" s="157"/>
    </row>
    <row r="21" spans="1:25" ht="14.4" x14ac:dyDescent="0.3">
      <c r="A21" s="19" t="s">
        <v>380</v>
      </c>
      <c r="B21" s="50">
        <f>B14</f>
        <v>0</v>
      </c>
      <c r="C21" s="103">
        <f>C19-C20</f>
        <v>0.83</v>
      </c>
      <c r="D21" s="50">
        <f>SUM(D19:D20)</f>
        <v>0</v>
      </c>
      <c r="E21" s="87"/>
      <c r="F21" s="3"/>
      <c r="K21" s="3"/>
      <c r="N21" s="13"/>
    </row>
    <row r="22" spans="1:25" ht="14.4" x14ac:dyDescent="0.3">
      <c r="K22" s="3"/>
      <c r="M22" s="3"/>
      <c r="O22" t="s">
        <v>410</v>
      </c>
    </row>
    <row r="23" spans="1:25" ht="14.4" x14ac:dyDescent="0.3">
      <c r="A23" s="83" t="s">
        <v>411</v>
      </c>
      <c r="B23" s="70">
        <v>2028</v>
      </c>
      <c r="C23" s="70">
        <v>2029</v>
      </c>
      <c r="D23" s="70">
        <v>2030</v>
      </c>
      <c r="E23" s="70">
        <v>2031</v>
      </c>
      <c r="F23" s="70">
        <v>2032</v>
      </c>
      <c r="G23" s="70">
        <v>2033</v>
      </c>
      <c r="H23" s="70">
        <v>2034</v>
      </c>
      <c r="I23" s="70">
        <v>2035</v>
      </c>
      <c r="J23" s="70" t="s">
        <v>362</v>
      </c>
      <c r="K23" s="70" t="s">
        <v>319</v>
      </c>
      <c r="O23" s="83" t="s">
        <v>409</v>
      </c>
      <c r="P23" s="70">
        <v>2028</v>
      </c>
      <c r="Q23" s="70">
        <v>2029</v>
      </c>
      <c r="R23" s="70">
        <v>2030</v>
      </c>
      <c r="S23" s="70">
        <v>2031</v>
      </c>
      <c r="T23" s="70">
        <v>2032</v>
      </c>
      <c r="U23" s="70">
        <v>2033</v>
      </c>
      <c r="V23" s="70">
        <v>2034</v>
      </c>
      <c r="W23" s="70">
        <v>2035</v>
      </c>
      <c r="X23" s="70" t="s">
        <v>362</v>
      </c>
      <c r="Y23" s="70" t="s">
        <v>319</v>
      </c>
    </row>
    <row r="24" spans="1:25" ht="14.4" x14ac:dyDescent="0.3">
      <c r="A24" s="19" t="str">
        <f t="shared" ref="A24:J29" si="0">O24</f>
        <v>Call 1 projects</v>
      </c>
      <c r="B24" s="50">
        <f t="shared" si="0"/>
        <v>0</v>
      </c>
      <c r="C24" s="50">
        <f t="shared" si="0"/>
        <v>0</v>
      </c>
      <c r="D24" s="50">
        <f t="shared" si="0"/>
        <v>0</v>
      </c>
      <c r="E24" s="50">
        <f t="shared" si="0"/>
        <v>0</v>
      </c>
      <c r="F24" s="50">
        <f t="shared" si="0"/>
        <v>0</v>
      </c>
      <c r="G24" s="50">
        <f t="shared" si="0"/>
        <v>0</v>
      </c>
      <c r="H24" s="50">
        <f t="shared" si="0"/>
        <v>0</v>
      </c>
      <c r="I24" s="50">
        <f t="shared" si="0"/>
        <v>0</v>
      </c>
      <c r="J24" s="50">
        <f t="shared" si="0"/>
        <v>0</v>
      </c>
      <c r="K24" s="64">
        <f t="shared" ref="K24:K30" si="1">SUM(B24:J24)</f>
        <v>0</v>
      </c>
      <c r="O24" s="109" t="s">
        <v>412</v>
      </c>
      <c r="P24" s="110"/>
      <c r="Q24" s="110"/>
      <c r="R24" s="110"/>
      <c r="S24" s="110"/>
      <c r="T24" s="110"/>
      <c r="U24" s="110"/>
      <c r="V24" s="110"/>
      <c r="W24" s="110"/>
      <c r="X24" s="110"/>
      <c r="Y24" s="99">
        <f t="shared" ref="Y24:Y30" si="2">SUM(P24:X24)</f>
        <v>0</v>
      </c>
    </row>
    <row r="25" spans="1:25" ht="14.4" x14ac:dyDescent="0.3">
      <c r="A25" s="19" t="str">
        <f t="shared" si="0"/>
        <v>Call 2 projects</v>
      </c>
      <c r="B25" s="50">
        <f t="shared" si="0"/>
        <v>0</v>
      </c>
      <c r="C25" s="50">
        <f t="shared" si="0"/>
        <v>0</v>
      </c>
      <c r="D25" s="50">
        <f t="shared" si="0"/>
        <v>0</v>
      </c>
      <c r="E25" s="50">
        <f t="shared" si="0"/>
        <v>0</v>
      </c>
      <c r="F25" s="50">
        <f t="shared" si="0"/>
        <v>0</v>
      </c>
      <c r="G25" s="50">
        <f t="shared" si="0"/>
        <v>0</v>
      </c>
      <c r="H25" s="50">
        <f t="shared" si="0"/>
        <v>0</v>
      </c>
      <c r="I25" s="50">
        <f t="shared" si="0"/>
        <v>0</v>
      </c>
      <c r="J25" s="50">
        <f t="shared" si="0"/>
        <v>0</v>
      </c>
      <c r="K25" s="64">
        <f t="shared" si="1"/>
        <v>0</v>
      </c>
      <c r="O25" s="109" t="s">
        <v>413</v>
      </c>
      <c r="P25" s="110"/>
      <c r="Q25" s="110"/>
      <c r="R25" s="110"/>
      <c r="S25" s="110"/>
      <c r="T25" s="110"/>
      <c r="U25" s="110"/>
      <c r="V25" s="110"/>
      <c r="W25" s="110"/>
      <c r="X25" s="110"/>
      <c r="Y25" s="99">
        <f t="shared" si="2"/>
        <v>0</v>
      </c>
    </row>
    <row r="26" spans="1:25" ht="14.4" x14ac:dyDescent="0.3">
      <c r="A26" s="19" t="str">
        <f t="shared" si="0"/>
        <v>Call 3 projects</v>
      </c>
      <c r="B26" s="50">
        <f t="shared" si="0"/>
        <v>0</v>
      </c>
      <c r="C26" s="50">
        <f t="shared" si="0"/>
        <v>0</v>
      </c>
      <c r="D26" s="50">
        <f t="shared" si="0"/>
        <v>0</v>
      </c>
      <c r="E26" s="50">
        <f t="shared" si="0"/>
        <v>0</v>
      </c>
      <c r="F26" s="50">
        <f t="shared" si="0"/>
        <v>0</v>
      </c>
      <c r="G26" s="50">
        <f t="shared" si="0"/>
        <v>0</v>
      </c>
      <c r="H26" s="50">
        <f t="shared" si="0"/>
        <v>0</v>
      </c>
      <c r="I26" s="50">
        <f t="shared" si="0"/>
        <v>0</v>
      </c>
      <c r="J26" s="50">
        <f t="shared" si="0"/>
        <v>0</v>
      </c>
      <c r="K26" s="64">
        <f t="shared" si="1"/>
        <v>0</v>
      </c>
      <c r="O26" s="109" t="s">
        <v>414</v>
      </c>
      <c r="P26" s="110"/>
      <c r="Q26" s="110"/>
      <c r="R26" s="110"/>
      <c r="S26" s="110"/>
      <c r="T26" s="110"/>
      <c r="U26" s="110"/>
      <c r="V26" s="110"/>
      <c r="W26" s="110"/>
      <c r="X26" s="110"/>
      <c r="Y26" s="99">
        <f t="shared" si="2"/>
        <v>0</v>
      </c>
    </row>
    <row r="27" spans="1:25" ht="14.4" x14ac:dyDescent="0.3">
      <c r="A27" s="19" t="str">
        <f t="shared" si="0"/>
        <v>Call 4  projects</v>
      </c>
      <c r="B27" s="50">
        <f t="shared" si="0"/>
        <v>0</v>
      </c>
      <c r="C27" s="50">
        <f t="shared" si="0"/>
        <v>0</v>
      </c>
      <c r="D27" s="50">
        <f t="shared" si="0"/>
        <v>0</v>
      </c>
      <c r="E27" s="50">
        <f t="shared" si="0"/>
        <v>0</v>
      </c>
      <c r="F27" s="50">
        <f t="shared" si="0"/>
        <v>0</v>
      </c>
      <c r="G27" s="50">
        <f t="shared" si="0"/>
        <v>0</v>
      </c>
      <c r="H27" s="50">
        <f t="shared" si="0"/>
        <v>0</v>
      </c>
      <c r="I27" s="50">
        <f t="shared" si="0"/>
        <v>0</v>
      </c>
      <c r="J27" s="50">
        <f t="shared" si="0"/>
        <v>0</v>
      </c>
      <c r="K27" s="64">
        <f t="shared" si="1"/>
        <v>0</v>
      </c>
      <c r="O27" s="109" t="s">
        <v>415</v>
      </c>
      <c r="P27" s="110"/>
      <c r="Q27" s="110"/>
      <c r="R27" s="110"/>
      <c r="S27" s="110"/>
      <c r="T27" s="110"/>
      <c r="U27" s="110"/>
      <c r="V27" s="110"/>
      <c r="W27" s="110"/>
      <c r="X27" s="110"/>
      <c r="Y27" s="99">
        <f t="shared" si="2"/>
        <v>0</v>
      </c>
    </row>
    <row r="28" spans="1:25" ht="14.4" x14ac:dyDescent="0.3">
      <c r="A28" s="19" t="str">
        <f t="shared" si="0"/>
        <v>Call 5  projects</v>
      </c>
      <c r="B28" s="50">
        <f t="shared" si="0"/>
        <v>0</v>
      </c>
      <c r="C28" s="50">
        <f t="shared" si="0"/>
        <v>0</v>
      </c>
      <c r="D28" s="50">
        <f t="shared" si="0"/>
        <v>0</v>
      </c>
      <c r="E28" s="50">
        <f t="shared" si="0"/>
        <v>0</v>
      </c>
      <c r="F28" s="50">
        <f t="shared" si="0"/>
        <v>0</v>
      </c>
      <c r="G28" s="50">
        <f t="shared" si="0"/>
        <v>0</v>
      </c>
      <c r="H28" s="50">
        <f t="shared" si="0"/>
        <v>0</v>
      </c>
      <c r="I28" s="50">
        <f t="shared" si="0"/>
        <v>0</v>
      </c>
      <c r="J28" s="50">
        <f t="shared" si="0"/>
        <v>0</v>
      </c>
      <c r="K28" s="64">
        <f t="shared" si="1"/>
        <v>0</v>
      </c>
      <c r="O28" s="109" t="s">
        <v>416</v>
      </c>
      <c r="P28" s="110"/>
      <c r="Q28" s="110"/>
      <c r="R28" s="110"/>
      <c r="S28" s="110"/>
      <c r="T28" s="110"/>
      <c r="U28" s="110"/>
      <c r="V28" s="110"/>
      <c r="W28" s="110"/>
      <c r="X28" s="110"/>
      <c r="Y28" s="99">
        <f t="shared" si="2"/>
        <v>0</v>
      </c>
    </row>
    <row r="29" spans="1:25" ht="14.4" x14ac:dyDescent="0.3">
      <c r="A29" s="19" t="str">
        <f t="shared" si="0"/>
        <v>Call 6 projects</v>
      </c>
      <c r="B29" s="50">
        <f t="shared" si="0"/>
        <v>0</v>
      </c>
      <c r="C29" s="50">
        <f t="shared" si="0"/>
        <v>0</v>
      </c>
      <c r="D29" s="50">
        <f t="shared" si="0"/>
        <v>0</v>
      </c>
      <c r="E29" s="50">
        <f t="shared" si="0"/>
        <v>0</v>
      </c>
      <c r="F29" s="50">
        <f t="shared" si="0"/>
        <v>0</v>
      </c>
      <c r="G29" s="50">
        <f t="shared" si="0"/>
        <v>0</v>
      </c>
      <c r="H29" s="50">
        <f t="shared" si="0"/>
        <v>0</v>
      </c>
      <c r="I29" s="50">
        <f t="shared" si="0"/>
        <v>0</v>
      </c>
      <c r="J29" s="50">
        <f t="shared" si="0"/>
        <v>0</v>
      </c>
      <c r="K29" s="64">
        <f t="shared" si="1"/>
        <v>0</v>
      </c>
      <c r="O29" s="109" t="s">
        <v>417</v>
      </c>
      <c r="P29" s="110"/>
      <c r="Q29" s="110"/>
      <c r="R29" s="110"/>
      <c r="S29" s="110"/>
      <c r="T29" s="110"/>
      <c r="U29" s="110"/>
      <c r="V29" s="110"/>
      <c r="W29" s="110"/>
      <c r="X29" s="110"/>
      <c r="Y29" s="99">
        <f t="shared" si="2"/>
        <v>0</v>
      </c>
    </row>
    <row r="30" spans="1:25" ht="14.4" x14ac:dyDescent="0.3">
      <c r="A30" s="19" t="s">
        <v>449</v>
      </c>
      <c r="B30" s="50">
        <f t="shared" ref="B30:J30" si="3">SUM(B24:B29)</f>
        <v>0</v>
      </c>
      <c r="C30" s="64">
        <f t="shared" si="3"/>
        <v>0</v>
      </c>
      <c r="D30" s="64">
        <f t="shared" si="3"/>
        <v>0</v>
      </c>
      <c r="E30" s="64">
        <f t="shared" si="3"/>
        <v>0</v>
      </c>
      <c r="F30" s="64">
        <f t="shared" si="3"/>
        <v>0</v>
      </c>
      <c r="G30" s="64">
        <f t="shared" si="3"/>
        <v>0</v>
      </c>
      <c r="H30" s="64">
        <f t="shared" si="3"/>
        <v>0</v>
      </c>
      <c r="I30" s="64">
        <f t="shared" si="3"/>
        <v>0</v>
      </c>
      <c r="J30" s="64">
        <f t="shared" si="3"/>
        <v>0</v>
      </c>
      <c r="K30" s="64">
        <f t="shared" si="1"/>
        <v>0</v>
      </c>
      <c r="O30" s="19" t="s">
        <v>449</v>
      </c>
      <c r="P30" s="99">
        <f t="shared" ref="P30:X30" si="4">SUM(P24:P29)</f>
        <v>0</v>
      </c>
      <c r="Q30" s="99">
        <f t="shared" si="4"/>
        <v>0</v>
      </c>
      <c r="R30" s="99">
        <f t="shared" si="4"/>
        <v>0</v>
      </c>
      <c r="S30" s="99">
        <f t="shared" si="4"/>
        <v>0</v>
      </c>
      <c r="T30" s="99">
        <f t="shared" si="4"/>
        <v>0</v>
      </c>
      <c r="U30" s="99">
        <f t="shared" si="4"/>
        <v>0</v>
      </c>
      <c r="V30" s="99">
        <f t="shared" si="4"/>
        <v>0</v>
      </c>
      <c r="W30" s="99">
        <f t="shared" si="4"/>
        <v>0</v>
      </c>
      <c r="X30" s="99">
        <f t="shared" si="4"/>
        <v>0</v>
      </c>
      <c r="Y30" s="99">
        <f t="shared" si="2"/>
        <v>0</v>
      </c>
    </row>
    <row r="32" spans="1:25" ht="14.4" x14ac:dyDescent="0.3">
      <c r="A32" s="83" t="s">
        <v>419</v>
      </c>
      <c r="B32" s="70">
        <v>2028</v>
      </c>
      <c r="C32" s="70">
        <v>2029</v>
      </c>
      <c r="D32" s="70">
        <v>2030</v>
      </c>
      <c r="E32" s="70">
        <v>2031</v>
      </c>
      <c r="F32" s="70">
        <v>2032</v>
      </c>
      <c r="G32" s="70">
        <v>2033</v>
      </c>
      <c r="H32" s="70">
        <v>2034</v>
      </c>
      <c r="I32" s="70">
        <v>2035</v>
      </c>
      <c r="J32" s="70" t="s">
        <v>362</v>
      </c>
      <c r="K32" s="70" t="s">
        <v>319</v>
      </c>
      <c r="L32" s="11"/>
    </row>
    <row r="33" spans="1:25" ht="14.4" x14ac:dyDescent="0.3">
      <c r="A33" s="19" t="s">
        <v>420</v>
      </c>
      <c r="B33" s="50">
        <f>IF(Inflows!$J$7=0,0,Inflows!B28/Inflows!$J$7*$B$5)</f>
        <v>0</v>
      </c>
      <c r="C33" s="50">
        <f>IF(Inflows!$J$7=0,0,Inflows!C28/Inflows!$J$7*$B$5)</f>
        <v>0</v>
      </c>
      <c r="D33" s="50">
        <f>IF(Inflows!$J$7=0,0,Inflows!D28/Inflows!$J$7*$B$5)</f>
        <v>0</v>
      </c>
      <c r="E33" s="50">
        <f>IF(Inflows!$J$7=0,0,Inflows!E28/Inflows!$J$7*$B$5)</f>
        <v>0</v>
      </c>
      <c r="F33" s="50">
        <f>IF(Inflows!$J$7=0,0,Inflows!F28/Inflows!$J$7*$B$5)</f>
        <v>0</v>
      </c>
      <c r="G33" s="50">
        <f>IF(Inflows!$J$7=0,0,Inflows!G28/Inflows!$J$7*$B$5)</f>
        <v>0</v>
      </c>
      <c r="H33" s="50">
        <f>IF(Inflows!$J$7=0,0,Inflows!H28/Inflows!$J$7*$B$5)</f>
        <v>0</v>
      </c>
      <c r="I33" s="50">
        <f>IF(Inflows!$J$7=0,0,Inflows!I28/Inflows!$J$7*$B$5)</f>
        <v>0</v>
      </c>
      <c r="J33" s="88"/>
      <c r="K33" s="64">
        <f>SUM(B33:J33)</f>
        <v>0</v>
      </c>
      <c r="L33" s="1"/>
    </row>
    <row r="34" spans="1:25" ht="18" x14ac:dyDescent="0.3">
      <c r="A34" s="19" t="s">
        <v>383</v>
      </c>
      <c r="B34" s="50">
        <f>'pay out values'!P98</f>
        <v>0</v>
      </c>
      <c r="C34" s="50">
        <f>'pay out values'!Q98</f>
        <v>0</v>
      </c>
      <c r="D34" s="50">
        <f>'pay out values'!R98</f>
        <v>0</v>
      </c>
      <c r="E34" s="50">
        <f>'pay out values'!S98</f>
        <v>0</v>
      </c>
      <c r="F34" s="50">
        <f>'pay out values'!T98</f>
        <v>0</v>
      </c>
      <c r="G34" s="50">
        <f>'pay out values'!U98</f>
        <v>0</v>
      </c>
      <c r="H34" s="50">
        <f>'pay out values'!V98</f>
        <v>0</v>
      </c>
      <c r="I34" s="50">
        <f>'pay out values'!W98</f>
        <v>0</v>
      </c>
      <c r="J34" s="88"/>
      <c r="K34" s="64">
        <f>SUM(B34:J34)</f>
        <v>0</v>
      </c>
      <c r="O34" s="157" t="s">
        <v>421</v>
      </c>
      <c r="P34" s="157"/>
      <c r="Q34" s="157"/>
      <c r="R34" s="157"/>
      <c r="S34" s="157"/>
      <c r="T34" s="157"/>
      <c r="U34" s="157"/>
      <c r="V34" s="157"/>
      <c r="W34" s="157"/>
      <c r="X34" s="157"/>
      <c r="Y34" s="157"/>
    </row>
    <row r="35" spans="1:25" ht="14.4" x14ac:dyDescent="0.3">
      <c r="A35" s="19" t="s">
        <v>384</v>
      </c>
      <c r="B35" s="50">
        <f>B34</f>
        <v>0</v>
      </c>
      <c r="C35" s="50">
        <f t="shared" ref="C35:I35" si="5">B35+C34</f>
        <v>0</v>
      </c>
      <c r="D35" s="50">
        <f t="shared" si="5"/>
        <v>0</v>
      </c>
      <c r="E35" s="50">
        <f t="shared" si="5"/>
        <v>0</v>
      </c>
      <c r="F35" s="50">
        <f t="shared" si="5"/>
        <v>0</v>
      </c>
      <c r="G35" s="50">
        <f t="shared" si="5"/>
        <v>0</v>
      </c>
      <c r="H35" s="50">
        <f t="shared" si="5"/>
        <v>0</v>
      </c>
      <c r="I35" s="50">
        <f t="shared" si="5"/>
        <v>0</v>
      </c>
      <c r="J35" s="88"/>
      <c r="K35" s="107"/>
    </row>
    <row r="36" spans="1:25" ht="14.4" x14ac:dyDescent="0.3">
      <c r="A36" s="19" t="s">
        <v>385</v>
      </c>
      <c r="B36" s="50">
        <f>B35+SUM($B33:B33)</f>
        <v>0</v>
      </c>
      <c r="C36" s="50">
        <f>C35+SUM($B33:C33)</f>
        <v>0</v>
      </c>
      <c r="D36" s="50">
        <f>D35+SUM($B33:D33)</f>
        <v>0</v>
      </c>
      <c r="E36" s="50">
        <f>E35+SUM($B33:E33)</f>
        <v>0</v>
      </c>
      <c r="F36" s="50">
        <f>F35+SUM($B33:F33)</f>
        <v>0</v>
      </c>
      <c r="G36" s="50">
        <f>G35+SUM($B33:G33)</f>
        <v>0</v>
      </c>
      <c r="H36" s="50">
        <f>H35+SUM($B33:H33)</f>
        <v>0</v>
      </c>
      <c r="I36" s="50">
        <f>I35+SUM($B33:I33)</f>
        <v>0</v>
      </c>
      <c r="J36" s="88"/>
      <c r="K36" s="107"/>
      <c r="O36" s="177" t="s">
        <v>422</v>
      </c>
      <c r="P36" s="178"/>
      <c r="Q36" s="178"/>
      <c r="R36" s="178"/>
      <c r="S36" s="178"/>
      <c r="T36" s="178"/>
      <c r="U36" s="178"/>
      <c r="V36" s="178"/>
    </row>
    <row r="37" spans="1:25" ht="14.4" x14ac:dyDescent="0.3">
      <c r="A37" s="19" t="str">
        <f>"amount above "&amp;TEXT($C$19,"0%")&amp;" ceiling"</f>
        <v>amount above 95% ceiling</v>
      </c>
      <c r="B37" s="50">
        <f t="shared" ref="B37:I37" si="6">IF(B36&gt;$B$19, B36-$B$19, 0)</f>
        <v>0</v>
      </c>
      <c r="C37" s="50">
        <f t="shared" si="6"/>
        <v>0</v>
      </c>
      <c r="D37" s="50">
        <f t="shared" si="6"/>
        <v>0</v>
      </c>
      <c r="E37" s="50">
        <f t="shared" si="6"/>
        <v>0</v>
      </c>
      <c r="F37" s="50">
        <f t="shared" si="6"/>
        <v>0</v>
      </c>
      <c r="G37" s="50">
        <f t="shared" si="6"/>
        <v>0</v>
      </c>
      <c r="H37" s="50">
        <f t="shared" si="6"/>
        <v>0</v>
      </c>
      <c r="I37" s="50">
        <f t="shared" si="6"/>
        <v>0</v>
      </c>
      <c r="J37" s="88"/>
      <c r="K37" s="107"/>
      <c r="O37" s="83" t="s">
        <v>423</v>
      </c>
      <c r="P37" s="70" t="s">
        <v>424</v>
      </c>
      <c r="Q37" s="70" t="s">
        <v>425</v>
      </c>
      <c r="R37" s="70" t="s">
        <v>426</v>
      </c>
      <c r="S37" s="70" t="s">
        <v>427</v>
      </c>
      <c r="T37" s="70" t="s">
        <v>428</v>
      </c>
      <c r="U37" s="70" t="s">
        <v>429</v>
      </c>
      <c r="V37" s="70" t="s">
        <v>319</v>
      </c>
    </row>
    <row r="38" spans="1:25" ht="14.4" x14ac:dyDescent="0.3">
      <c r="A38" s="19" t="str">
        <f>"clearance of pre-financing AND impact of "&amp;TEXT($C$19,"0%")&amp;" ceiling"</f>
        <v>clearance of pre-financing AND impact of 95% ceiling</v>
      </c>
      <c r="B38" s="50">
        <f>MIN(B36,$B$19)-B33-B34</f>
        <v>0</v>
      </c>
      <c r="C38" s="50">
        <f t="shared" ref="C38:I38" si="7">MIN(C36,$B$19)-MIN(B36,$B$19)-C33-C34</f>
        <v>0</v>
      </c>
      <c r="D38" s="50">
        <f t="shared" si="7"/>
        <v>0</v>
      </c>
      <c r="E38" s="50">
        <f t="shared" si="7"/>
        <v>0</v>
      </c>
      <c r="F38" s="50">
        <f t="shared" si="7"/>
        <v>0</v>
      </c>
      <c r="G38" s="50">
        <f t="shared" si="7"/>
        <v>0</v>
      </c>
      <c r="H38" s="50">
        <f t="shared" si="7"/>
        <v>0</v>
      </c>
      <c r="I38" s="50">
        <f t="shared" si="7"/>
        <v>0</v>
      </c>
      <c r="J38" s="88"/>
      <c r="K38" s="64">
        <f>SUM(B38:J38)</f>
        <v>0</v>
      </c>
      <c r="O38" s="83" t="s">
        <v>430</v>
      </c>
      <c r="P38" s="111">
        <v>0.05</v>
      </c>
      <c r="Q38" s="111">
        <v>0.15</v>
      </c>
      <c r="R38" s="111">
        <v>0.35</v>
      </c>
      <c r="S38" s="111">
        <v>0.25</v>
      </c>
      <c r="T38" s="111">
        <v>0.15</v>
      </c>
      <c r="U38" s="111">
        <v>0.05</v>
      </c>
      <c r="V38" s="100">
        <f>SUM(P38:U38)</f>
        <v>1</v>
      </c>
    </row>
    <row r="39" spans="1:25" x14ac:dyDescent="0.3">
      <c r="A39" s="19" t="str">
        <f>TEXT(1-$C$19,"0%")&amp;" paid after programme closure"</f>
        <v>5% paid after programme closure</v>
      </c>
      <c r="B39" s="89"/>
      <c r="C39" s="90"/>
      <c r="D39" s="90"/>
      <c r="E39" s="90"/>
      <c r="F39" s="90"/>
      <c r="G39" s="90"/>
      <c r="H39" s="90"/>
      <c r="I39" s="91"/>
      <c r="J39" s="50">
        <f>B15</f>
        <v>0</v>
      </c>
      <c r="K39" s="64">
        <f>SUM(B39:J39)</f>
        <v>0</v>
      </c>
      <c r="O39" s="83" t="s">
        <v>431</v>
      </c>
      <c r="P39" s="95">
        <f t="shared" ref="P39:U39" si="8">P38*$T$42</f>
        <v>0</v>
      </c>
      <c r="Q39" s="95">
        <f t="shared" si="8"/>
        <v>0</v>
      </c>
      <c r="R39" s="95">
        <f t="shared" si="8"/>
        <v>0</v>
      </c>
      <c r="S39" s="95">
        <f t="shared" si="8"/>
        <v>0</v>
      </c>
      <c r="T39" s="95">
        <f t="shared" si="8"/>
        <v>0</v>
      </c>
      <c r="U39" s="95">
        <f t="shared" si="8"/>
        <v>0</v>
      </c>
      <c r="V39" s="95">
        <f>SUM(P39:U39)</f>
        <v>0</v>
      </c>
    </row>
    <row r="40" spans="1:25" ht="14.4" x14ac:dyDescent="0.3">
      <c r="A40" s="19" t="s">
        <v>386</v>
      </c>
      <c r="B40" s="64">
        <f t="shared" ref="B40:J40" si="9">B34+B38+B39</f>
        <v>0</v>
      </c>
      <c r="C40" s="64">
        <f t="shared" si="9"/>
        <v>0</v>
      </c>
      <c r="D40" s="64">
        <f t="shared" si="9"/>
        <v>0</v>
      </c>
      <c r="E40" s="64">
        <f t="shared" si="9"/>
        <v>0</v>
      </c>
      <c r="F40" s="64">
        <f t="shared" si="9"/>
        <v>0</v>
      </c>
      <c r="G40" s="64">
        <f t="shared" si="9"/>
        <v>0</v>
      </c>
      <c r="H40" s="64">
        <f t="shared" si="9"/>
        <v>0</v>
      </c>
      <c r="I40" s="64">
        <f t="shared" si="9"/>
        <v>0</v>
      </c>
      <c r="J40" s="64">
        <f t="shared" si="9"/>
        <v>0</v>
      </c>
      <c r="K40" s="64">
        <f>SUM(B40:J40)</f>
        <v>0</v>
      </c>
      <c r="L40" s="1"/>
    </row>
    <row r="41" spans="1:25" ht="14.4" x14ac:dyDescent="0.3">
      <c r="A41" s="19" t="s">
        <v>387</v>
      </c>
      <c r="B41" s="93">
        <f t="shared" ref="B41:I41" si="10">IF(B34=0,0,B40/B34)</f>
        <v>0</v>
      </c>
      <c r="C41" s="93">
        <f t="shared" si="10"/>
        <v>0</v>
      </c>
      <c r="D41" s="93">
        <f t="shared" si="10"/>
        <v>0</v>
      </c>
      <c r="E41" s="93">
        <f t="shared" si="10"/>
        <v>0</v>
      </c>
      <c r="F41" s="93">
        <f t="shared" si="10"/>
        <v>0</v>
      </c>
      <c r="G41" s="93">
        <f t="shared" si="10"/>
        <v>0</v>
      </c>
      <c r="H41" s="93">
        <f t="shared" si="10"/>
        <v>0</v>
      </c>
      <c r="I41" s="93">
        <f t="shared" si="10"/>
        <v>0</v>
      </c>
      <c r="J41" s="98"/>
      <c r="K41" s="98"/>
      <c r="L41" s="1"/>
      <c r="P41" s="13" t="s">
        <v>432</v>
      </c>
      <c r="T41" t="s">
        <v>433</v>
      </c>
    </row>
    <row r="42" spans="1:25" ht="14.4" x14ac:dyDescent="0.3">
      <c r="A42" s="106" t="s">
        <v>434</v>
      </c>
      <c r="O42" s="112" t="s">
        <v>435</v>
      </c>
      <c r="P42" s="113"/>
      <c r="Q42" s="112" t="s">
        <v>436</v>
      </c>
      <c r="R42" s="113"/>
      <c r="S42" s="114"/>
      <c r="T42" s="110"/>
    </row>
    <row r="43" spans="1:25" ht="14.4" x14ac:dyDescent="0.3">
      <c r="O43" s="112" t="s">
        <v>437</v>
      </c>
      <c r="P43" s="113"/>
      <c r="Q43" s="112" t="s">
        <v>438</v>
      </c>
      <c r="R43" s="113"/>
      <c r="S43" s="114"/>
      <c r="T43" s="114"/>
    </row>
    <row r="44" spans="1:25" ht="14.4" x14ac:dyDescent="0.3">
      <c r="A44" s="83" t="s">
        <v>404</v>
      </c>
      <c r="B44" s="70">
        <v>2028</v>
      </c>
      <c r="C44" s="70">
        <v>2029</v>
      </c>
      <c r="D44" s="70">
        <v>2030</v>
      </c>
      <c r="E44" s="70">
        <v>2031</v>
      </c>
      <c r="F44" s="70">
        <v>2032</v>
      </c>
      <c r="G44" s="70">
        <v>2033</v>
      </c>
      <c r="H44" s="70">
        <v>2034</v>
      </c>
      <c r="I44" s="70">
        <v>2035</v>
      </c>
      <c r="J44" s="70" t="s">
        <v>362</v>
      </c>
      <c r="K44" s="70" t="s">
        <v>319</v>
      </c>
      <c r="O44" s="112" t="s">
        <v>439</v>
      </c>
      <c r="P44" s="113"/>
      <c r="Q44" s="112" t="s">
        <v>440</v>
      </c>
      <c r="R44" s="113"/>
      <c r="S44" s="114"/>
      <c r="T44" s="114" t="s">
        <v>441</v>
      </c>
    </row>
    <row r="45" spans="1:25" ht="14.4" x14ac:dyDescent="0.3">
      <c r="A45" s="19" t="s">
        <v>442</v>
      </c>
      <c r="B45" s="50">
        <f t="shared" ref="B45:J45" si="11">B33+B40</f>
        <v>0</v>
      </c>
      <c r="C45" s="50">
        <f t="shared" si="11"/>
        <v>0</v>
      </c>
      <c r="D45" s="50">
        <f t="shared" si="11"/>
        <v>0</v>
      </c>
      <c r="E45" s="50">
        <f t="shared" si="11"/>
        <v>0</v>
      </c>
      <c r="F45" s="50">
        <f t="shared" si="11"/>
        <v>0</v>
      </c>
      <c r="G45" s="50">
        <f t="shared" si="11"/>
        <v>0</v>
      </c>
      <c r="H45" s="50">
        <f t="shared" si="11"/>
        <v>0</v>
      </c>
      <c r="I45" s="50">
        <f t="shared" si="11"/>
        <v>0</v>
      </c>
      <c r="J45" s="50">
        <f t="shared" si="11"/>
        <v>0</v>
      </c>
      <c r="K45" s="64">
        <f>SUM(B45:J45)</f>
        <v>0</v>
      </c>
    </row>
    <row r="46" spans="1:25" ht="14.4" x14ac:dyDescent="0.3">
      <c r="A46" s="19" t="s">
        <v>443</v>
      </c>
      <c r="B46" s="50">
        <f t="shared" ref="B46:J46" si="12">P30</f>
        <v>0</v>
      </c>
      <c r="C46" s="50">
        <f t="shared" si="12"/>
        <v>0</v>
      </c>
      <c r="D46" s="50">
        <f t="shared" si="12"/>
        <v>0</v>
      </c>
      <c r="E46" s="50">
        <f t="shared" si="12"/>
        <v>0</v>
      </c>
      <c r="F46" s="50">
        <f t="shared" si="12"/>
        <v>0</v>
      </c>
      <c r="G46" s="50">
        <f t="shared" si="12"/>
        <v>0</v>
      </c>
      <c r="H46" s="50">
        <f t="shared" si="12"/>
        <v>0</v>
      </c>
      <c r="I46" s="50">
        <f t="shared" si="12"/>
        <v>0</v>
      </c>
      <c r="J46" s="50">
        <f t="shared" si="12"/>
        <v>0</v>
      </c>
      <c r="K46" s="64">
        <f>SUM(B46:J46)</f>
        <v>0</v>
      </c>
      <c r="O46" s="83" t="s">
        <v>409</v>
      </c>
      <c r="P46" s="70">
        <v>2028</v>
      </c>
      <c r="Q46" s="70">
        <v>2029</v>
      </c>
      <c r="R46" s="70">
        <v>2030</v>
      </c>
      <c r="S46" s="70">
        <v>2031</v>
      </c>
      <c r="T46" s="70">
        <v>2032</v>
      </c>
      <c r="U46" s="70">
        <v>2033</v>
      </c>
      <c r="V46" s="70">
        <v>2034</v>
      </c>
      <c r="W46" s="70">
        <v>2035</v>
      </c>
      <c r="X46" s="70" t="s">
        <v>362</v>
      </c>
      <c r="Y46" s="70" t="s">
        <v>319</v>
      </c>
    </row>
    <row r="47" spans="1:25" ht="14.4" x14ac:dyDescent="0.3">
      <c r="A47" s="19" t="s">
        <v>444</v>
      </c>
      <c r="B47" s="50">
        <f t="shared" ref="B47:J47" si="13">B45-B46</f>
        <v>0</v>
      </c>
      <c r="C47" s="50">
        <f t="shared" si="13"/>
        <v>0</v>
      </c>
      <c r="D47" s="50">
        <f t="shared" si="13"/>
        <v>0</v>
      </c>
      <c r="E47" s="50">
        <f t="shared" si="13"/>
        <v>0</v>
      </c>
      <c r="F47" s="50">
        <f t="shared" si="13"/>
        <v>0</v>
      </c>
      <c r="G47" s="50">
        <f t="shared" si="13"/>
        <v>0</v>
      </c>
      <c r="H47" s="50">
        <f t="shared" si="13"/>
        <v>0</v>
      </c>
      <c r="I47" s="50">
        <f t="shared" si="13"/>
        <v>0</v>
      </c>
      <c r="J47" s="50">
        <f t="shared" si="13"/>
        <v>0</v>
      </c>
      <c r="K47" s="98"/>
      <c r="O47" s="113" t="s">
        <v>412</v>
      </c>
      <c r="P47" s="110"/>
      <c r="Q47" s="110">
        <f>$P$42*P$39</f>
        <v>0</v>
      </c>
      <c r="R47" s="110">
        <f>$P$42*(Q$39+R$39)</f>
        <v>0</v>
      </c>
      <c r="S47" s="110">
        <f>$P$42*(S$39+T$39)</f>
        <v>0</v>
      </c>
      <c r="T47" s="110">
        <f>$P$42*U$39</f>
        <v>0</v>
      </c>
      <c r="U47" s="110"/>
      <c r="V47" s="110"/>
      <c r="W47" s="110"/>
      <c r="X47" s="110"/>
      <c r="Y47" s="99">
        <f t="shared" ref="Y47:Y53" si="14">SUM(P47:X47)</f>
        <v>0</v>
      </c>
    </row>
    <row r="48" spans="1:25" ht="14.4" x14ac:dyDescent="0.3">
      <c r="A48" s="19" t="s">
        <v>445</v>
      </c>
      <c r="B48" s="50">
        <f>B47</f>
        <v>0</v>
      </c>
      <c r="C48" s="50">
        <f t="shared" ref="C48:J48" si="15">B48+C47</f>
        <v>0</v>
      </c>
      <c r="D48" s="50">
        <f t="shared" si="15"/>
        <v>0</v>
      </c>
      <c r="E48" s="50">
        <f t="shared" si="15"/>
        <v>0</v>
      </c>
      <c r="F48" s="50">
        <f t="shared" si="15"/>
        <v>0</v>
      </c>
      <c r="G48" s="50">
        <f t="shared" si="15"/>
        <v>0</v>
      </c>
      <c r="H48" s="50">
        <f t="shared" si="15"/>
        <v>0</v>
      </c>
      <c r="I48" s="50">
        <f t="shared" si="15"/>
        <v>0</v>
      </c>
      <c r="J48" s="50">
        <f t="shared" si="15"/>
        <v>0</v>
      </c>
      <c r="K48" s="98"/>
      <c r="O48" s="113" t="s">
        <v>413</v>
      </c>
      <c r="P48" s="110"/>
      <c r="Q48" s="110"/>
      <c r="R48" s="110">
        <f>$P$43*P$39</f>
        <v>0</v>
      </c>
      <c r="S48" s="110">
        <f>$P$43*(Q$39+R$39)</f>
        <v>0</v>
      </c>
      <c r="T48" s="110">
        <f>$P$43*(S$39+T$39)</f>
        <v>0</v>
      </c>
      <c r="U48" s="110">
        <f>$P$43*U$39</f>
        <v>0</v>
      </c>
      <c r="V48" s="110"/>
      <c r="W48" s="110"/>
      <c r="X48" s="110"/>
      <c r="Y48" s="99">
        <f t="shared" si="14"/>
        <v>0</v>
      </c>
    </row>
    <row r="49" spans="1:25" ht="14.4" x14ac:dyDescent="0.3">
      <c r="O49" s="113" t="s">
        <v>414</v>
      </c>
      <c r="P49" s="110"/>
      <c r="Q49" s="110"/>
      <c r="R49" s="110"/>
      <c r="S49" s="110">
        <f>$P$44*P$39</f>
        <v>0</v>
      </c>
      <c r="T49" s="110">
        <f>$P$44*(Q$39+R$39)</f>
        <v>0</v>
      </c>
      <c r="U49" s="110">
        <f>$P$44*(S$39+T$39)</f>
        <v>0</v>
      </c>
      <c r="V49" s="110">
        <f>$P$44*U$39</f>
        <v>0</v>
      </c>
      <c r="W49" s="110"/>
      <c r="X49" s="110"/>
      <c r="Y49" s="99">
        <f t="shared" si="14"/>
        <v>0</v>
      </c>
    </row>
    <row r="50" spans="1:25" ht="14.4" x14ac:dyDescent="0.3">
      <c r="O50" s="113" t="s">
        <v>415</v>
      </c>
      <c r="P50" s="110"/>
      <c r="Q50" s="110"/>
      <c r="R50" s="110"/>
      <c r="S50" s="110"/>
      <c r="T50" s="110"/>
      <c r="U50" s="110"/>
      <c r="V50" s="110"/>
      <c r="W50" s="110"/>
      <c r="X50" s="110"/>
      <c r="Y50" s="99">
        <f t="shared" si="14"/>
        <v>0</v>
      </c>
    </row>
    <row r="51" spans="1:25" ht="14.4" x14ac:dyDescent="0.3">
      <c r="A51" s="101" t="s">
        <v>446</v>
      </c>
      <c r="B51" s="70">
        <v>2028</v>
      </c>
      <c r="C51" s="70">
        <v>2029</v>
      </c>
      <c r="D51" s="70">
        <v>2030</v>
      </c>
      <c r="E51" s="70">
        <v>2031</v>
      </c>
      <c r="F51" s="70">
        <v>2032</v>
      </c>
      <c r="G51" s="70">
        <v>2033</v>
      </c>
      <c r="H51" s="70">
        <v>2034</v>
      </c>
      <c r="I51" s="70">
        <v>2035</v>
      </c>
      <c r="J51" s="70" t="s">
        <v>362</v>
      </c>
      <c r="O51" s="113" t="s">
        <v>416</v>
      </c>
      <c r="P51" s="110"/>
      <c r="Q51" s="110"/>
      <c r="R51" s="110"/>
      <c r="S51" s="110"/>
      <c r="T51" s="110"/>
      <c r="U51" s="110"/>
      <c r="V51" s="110"/>
      <c r="W51" s="110"/>
      <c r="X51" s="110"/>
      <c r="Y51" s="99">
        <f t="shared" si="14"/>
        <v>0</v>
      </c>
    </row>
    <row r="52" spans="1:25" ht="14.4" x14ac:dyDescent="0.3">
      <c r="A52" s="19" t="s">
        <v>405</v>
      </c>
      <c r="B52" s="50">
        <f>B45</f>
        <v>0</v>
      </c>
      <c r="C52" s="50">
        <f t="shared" ref="C52:J53" si="16">B52+C45</f>
        <v>0</v>
      </c>
      <c r="D52" s="50">
        <f t="shared" si="16"/>
        <v>0</v>
      </c>
      <c r="E52" s="50">
        <f t="shared" si="16"/>
        <v>0</v>
      </c>
      <c r="F52" s="50">
        <f t="shared" si="16"/>
        <v>0</v>
      </c>
      <c r="G52" s="50">
        <f t="shared" si="16"/>
        <v>0</v>
      </c>
      <c r="H52" s="50">
        <f t="shared" si="16"/>
        <v>0</v>
      </c>
      <c r="I52" s="50">
        <f t="shared" si="16"/>
        <v>0</v>
      </c>
      <c r="J52" s="50">
        <f t="shared" si="16"/>
        <v>0</v>
      </c>
      <c r="K52" s="1"/>
      <c r="O52" s="113" t="s">
        <v>417</v>
      </c>
      <c r="P52" s="110"/>
      <c r="Q52" s="110"/>
      <c r="R52" s="110"/>
      <c r="S52" s="110"/>
      <c r="T52" s="110"/>
      <c r="U52" s="110"/>
      <c r="V52" s="110"/>
      <c r="W52" s="110"/>
      <c r="X52" s="110"/>
      <c r="Y52" s="99">
        <f t="shared" si="14"/>
        <v>0</v>
      </c>
    </row>
    <row r="53" spans="1:25" ht="14.4" x14ac:dyDescent="0.3">
      <c r="A53" s="19" t="s">
        <v>406</v>
      </c>
      <c r="B53" s="50">
        <f>B46</f>
        <v>0</v>
      </c>
      <c r="C53" s="50">
        <f t="shared" si="16"/>
        <v>0</v>
      </c>
      <c r="D53" s="50">
        <f t="shared" si="16"/>
        <v>0</v>
      </c>
      <c r="E53" s="50">
        <f t="shared" si="16"/>
        <v>0</v>
      </c>
      <c r="F53" s="50">
        <f t="shared" si="16"/>
        <v>0</v>
      </c>
      <c r="G53" s="50">
        <f t="shared" si="16"/>
        <v>0</v>
      </c>
      <c r="H53" s="50">
        <f t="shared" si="16"/>
        <v>0</v>
      </c>
      <c r="I53" s="50">
        <f t="shared" si="16"/>
        <v>0</v>
      </c>
      <c r="J53" s="50">
        <f t="shared" si="16"/>
        <v>0</v>
      </c>
      <c r="O53" s="19" t="s">
        <v>449</v>
      </c>
      <c r="P53" s="99">
        <f t="shared" ref="P53:X53" si="17">SUM(P47:P52)</f>
        <v>0</v>
      </c>
      <c r="Q53" s="99">
        <f t="shared" si="17"/>
        <v>0</v>
      </c>
      <c r="R53" s="99">
        <f t="shared" si="17"/>
        <v>0</v>
      </c>
      <c r="S53" s="99">
        <f t="shared" si="17"/>
        <v>0</v>
      </c>
      <c r="T53" s="99">
        <f t="shared" si="17"/>
        <v>0</v>
      </c>
      <c r="U53" s="99">
        <f t="shared" si="17"/>
        <v>0</v>
      </c>
      <c r="V53" s="99">
        <f t="shared" si="17"/>
        <v>0</v>
      </c>
      <c r="W53" s="99">
        <f t="shared" si="17"/>
        <v>0</v>
      </c>
      <c r="X53" s="99">
        <f t="shared" si="17"/>
        <v>0</v>
      </c>
      <c r="Y53" s="99">
        <f t="shared" si="14"/>
        <v>0</v>
      </c>
    </row>
    <row r="62" spans="1:25" x14ac:dyDescent="0.3">
      <c r="T62" s="81"/>
    </row>
    <row r="63" spans="1:25" x14ac:dyDescent="0.3">
      <c r="A63" s="82"/>
    </row>
    <row r="64" spans="1:25" x14ac:dyDescent="0.3">
      <c r="A64" s="86"/>
    </row>
    <row r="65" spans="1:1" x14ac:dyDescent="0.3">
      <c r="A65" s="14"/>
    </row>
    <row r="66" spans="1:1" x14ac:dyDescent="0.3">
      <c r="A66" s="13"/>
    </row>
    <row r="67" spans="1:1" x14ac:dyDescent="0.3">
      <c r="A67" s="13"/>
    </row>
  </sheetData>
  <sheetProtection selectLockedCells="1"/>
  <mergeCells count="5">
    <mergeCell ref="A1:K1"/>
    <mergeCell ref="A2:K2"/>
    <mergeCell ref="O20:Y20"/>
    <mergeCell ref="O34:Y34"/>
    <mergeCell ref="O36:V36"/>
  </mergeCells>
  <conditionalFormatting sqref="A1:Y67">
    <cfRule type="expression" dxfId="20" priority="100">
      <formula>ISERROR(A1)</formula>
    </cfRule>
  </conditionalFormatting>
  <conditionalFormatting sqref="B36:I36">
    <cfRule type="cellIs" dxfId="19" priority="1" operator="greaterThan">
      <formula>$B$19</formula>
    </cfRule>
  </conditionalFormatting>
  <conditionalFormatting sqref="K30">
    <cfRule type="cellIs" dxfId="18" priority="2" operator="equal">
      <formula>$B$5</formula>
    </cfRule>
  </conditionalFormatting>
  <dataValidations count="5">
    <dataValidation type="decimal" operator="greaterThanOrEqual" allowBlank="1" showInputMessage="1" showErrorMessage="1" errorTitle="Amount required" error="Enter an amount in EUR, 0 or more." promptTitle="Average project budget (EUR)" prompt="Enter the average EU budget of a project in EUR." sqref="T42" xr:uid="{672C4151-931C-47C1-8317-DA853E82F03A}">
      <formula1>0</formula1>
    </dataValidation>
    <dataValidation type="decimal" operator="greaterThanOrEqual" allowBlank="1" showInputMessage="1" showErrorMessage="1" errorTitle="Number required" error="Enter a number, 0 or more." promptTitle="Number of projects per call" prompt="Enter the number of projects expected per call." sqref="P42:P44 R42:R44" xr:uid="{1113932F-EB39-4AF2-B759-AAC31A34812D}">
      <formula1>0</formula1>
    </dataValidation>
    <dataValidation type="decimal" allowBlank="1" showInputMessage="1" showErrorMessage="1" errorTitle="Percentage required" error="Enter a percentage between 0% and 100%." promptTitle="Spending profile (%)" prompt="Enter the share of the project budget spent in each half year of a regular 36 month project. The six values must add up to 100%." sqref="P38:U38" xr:uid="{B0E8476F-DC3D-4920-B31B-B2B09AE7B12C}">
      <formula1>0</formula1>
      <formula2>1</formula2>
    </dataValidation>
    <dataValidation type="decimal" operator="greaterThanOrEqual" allowBlank="1" showInputMessage="1" showErrorMessage="1" errorTitle="Amount required" error="Enter an amount in EUR, 0 or more." promptTitle="Payments to projects (EUR)" prompt="Enter the payments to projects per call and year in EUR (2028 to 2035 and after closure), for example copied from the mini calculator on the right. They feed the outflows of this sheet." sqref="P24:X29" xr:uid="{8A04446A-6A09-470D-9190-B12136F43D1F}">
      <formula1>0</formula1>
    </dataValidation>
    <dataValidation allowBlank="1" showInputMessage="1" promptTitle="Call or project group" prompt="Optional. Name of the call or group of projects. The name is shown in the table on the left." sqref="O24:O29" xr:uid="{00000000-0002-0000-0A00-000004000000}"/>
  </dataValidations>
  <pageMargins left="0.7" right="0.7" top="0.75" bottom="0.75" header="0.3" footer="0.3"/>
  <drawing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55AB48-FE53-427D-9498-02BB7B8A3FFB}">
  <dimension ref="A1:Y67"/>
  <sheetViews>
    <sheetView topLeftCell="A24" zoomScaleNormal="100" workbookViewId="0">
      <selection activeCell="K67" sqref="K67"/>
    </sheetView>
  </sheetViews>
  <sheetFormatPr defaultRowHeight="15.05" x14ac:dyDescent="0.3"/>
  <cols>
    <col min="1" max="1" width="44" customWidth="1"/>
    <col min="2" max="2" width="14.5546875" customWidth="1"/>
    <col min="3" max="3" width="13.5546875" customWidth="1"/>
    <col min="4" max="4" width="13.109375" customWidth="1"/>
    <col min="5" max="5" width="14.88671875" customWidth="1"/>
    <col min="6" max="6" width="14" customWidth="1"/>
    <col min="7" max="7" width="15.109375" customWidth="1"/>
    <col min="8" max="8" width="13.44140625" customWidth="1"/>
    <col min="9" max="9" width="14.44140625" customWidth="1"/>
    <col min="10" max="10" width="14.88671875" customWidth="1"/>
    <col min="11" max="11" width="14.109375" customWidth="1"/>
    <col min="15" max="15" width="19.5546875" bestFit="1" customWidth="1"/>
    <col min="20" max="20" width="14" bestFit="1" customWidth="1"/>
    <col min="25" max="25" width="10.109375" bestFit="1" customWidth="1"/>
    <col min="26" max="26" width="13.5546875" bestFit="1" customWidth="1"/>
    <col min="27" max="27" width="10.109375" bestFit="1" customWidth="1"/>
  </cols>
  <sheetData>
    <row r="1" spans="1:14" ht="18" x14ac:dyDescent="0.3">
      <c r="A1" s="157" t="s">
        <v>403</v>
      </c>
      <c r="B1" s="157"/>
      <c r="C1" s="157"/>
      <c r="D1" s="157"/>
      <c r="E1" s="157"/>
      <c r="F1" s="157"/>
      <c r="G1" s="157"/>
      <c r="H1" s="157"/>
      <c r="I1" s="157"/>
      <c r="J1" s="157"/>
      <c r="K1" s="157"/>
    </row>
    <row r="2" spans="1:14" ht="18" x14ac:dyDescent="0.3">
      <c r="A2" s="157" t="s">
        <v>407</v>
      </c>
      <c r="B2" s="157"/>
      <c r="C2" s="157"/>
      <c r="D2" s="157"/>
      <c r="E2" s="157"/>
      <c r="F2" s="157"/>
      <c r="G2" s="157"/>
      <c r="H2" s="157"/>
      <c r="I2" s="157"/>
      <c r="J2" s="157"/>
      <c r="K2" s="157"/>
    </row>
    <row r="3" spans="1:14" ht="14.4" x14ac:dyDescent="0.3">
      <c r="A3" s="5"/>
    </row>
    <row r="4" spans="1:14" ht="14.4" x14ac:dyDescent="0.3">
      <c r="B4" s="6" t="s">
        <v>408</v>
      </c>
      <c r="C4" s="6" t="s">
        <v>297</v>
      </c>
    </row>
    <row r="5" spans="1:14" ht="14.4" x14ac:dyDescent="0.3">
      <c r="A5" s="6" t="str">
        <f>'pay out values'!B31</f>
        <v>Measure 5</v>
      </c>
      <c r="B5" s="50">
        <f>'pay out values'!D31</f>
        <v>0</v>
      </c>
      <c r="C5" s="102">
        <f>'pay out values'!C31</f>
        <v>0</v>
      </c>
      <c r="K5" s="3"/>
    </row>
    <row r="6" spans="1:14" ht="14.4" x14ac:dyDescent="0.3">
      <c r="C6" s="3"/>
      <c r="D6" s="3"/>
      <c r="E6" s="87"/>
      <c r="F6" s="3"/>
      <c r="K6" s="3"/>
      <c r="N6" s="13"/>
    </row>
    <row r="7" spans="1:14" x14ac:dyDescent="0.3">
      <c r="A7" s="69" t="s">
        <v>368</v>
      </c>
      <c r="B7" s="83" t="s">
        <v>369</v>
      </c>
      <c r="C7" s="84" t="s">
        <v>370</v>
      </c>
      <c r="D7" s="3"/>
      <c r="E7" s="87"/>
      <c r="F7" s="3"/>
      <c r="K7" s="3"/>
      <c r="N7" s="13"/>
    </row>
    <row r="8" spans="1:14" ht="14.4" x14ac:dyDescent="0.3">
      <c r="A8" s="19" t="s">
        <v>371</v>
      </c>
      <c r="B8" s="50">
        <f>$B$5*C8</f>
        <v>0</v>
      </c>
      <c r="C8" s="102">
        <f>'N+1 '!J15</f>
        <v>0.12</v>
      </c>
      <c r="D8" s="3"/>
      <c r="E8" s="87"/>
      <c r="F8" s="3"/>
      <c r="K8" s="3"/>
    </row>
    <row r="9" spans="1:14" ht="14.4" x14ac:dyDescent="0.3">
      <c r="A9" s="19" t="s">
        <v>372</v>
      </c>
      <c r="B9" s="50">
        <f>$B$5*C9</f>
        <v>0</v>
      </c>
      <c r="C9" s="102">
        <f>1-C8</f>
        <v>0.88</v>
      </c>
      <c r="D9" s="3"/>
      <c r="E9" s="87"/>
      <c r="F9" s="3"/>
      <c r="K9" s="3"/>
    </row>
    <row r="10" spans="1:14" x14ac:dyDescent="0.3">
      <c r="A10" s="19" t="s">
        <v>286</v>
      </c>
      <c r="B10" s="50">
        <f>SUM(B8:B9)</f>
        <v>0</v>
      </c>
      <c r="C10" s="102">
        <f>SUM(C8:C9)</f>
        <v>1</v>
      </c>
      <c r="D10" s="3"/>
      <c r="E10" s="87"/>
      <c r="F10" s="3"/>
      <c r="K10" s="3"/>
    </row>
    <row r="11" spans="1:14" ht="14.4" x14ac:dyDescent="0.3">
      <c r="D11" s="3"/>
      <c r="E11" s="87"/>
      <c r="F11" s="3"/>
      <c r="K11" s="3"/>
    </row>
    <row r="12" spans="1:14" x14ac:dyDescent="0.3">
      <c r="A12" s="69" t="s">
        <v>373</v>
      </c>
      <c r="B12" s="83" t="s">
        <v>369</v>
      </c>
      <c r="C12" s="84" t="s">
        <v>370</v>
      </c>
      <c r="D12" s="3"/>
      <c r="E12" s="87"/>
      <c r="F12" s="3"/>
      <c r="K12" s="3"/>
    </row>
    <row r="13" spans="1:14" ht="14.4" x14ac:dyDescent="0.3">
      <c r="A13" s="19" t="s">
        <v>371</v>
      </c>
      <c r="B13" s="50">
        <f>$B$5*C13</f>
        <v>0</v>
      </c>
      <c r="C13" s="102">
        <f>C8</f>
        <v>0.12</v>
      </c>
      <c r="D13" s="3"/>
      <c r="E13" s="87"/>
      <c r="F13" s="3"/>
      <c r="K13" s="3"/>
    </row>
    <row r="14" spans="1:14" ht="14.4" x14ac:dyDescent="0.3">
      <c r="A14" s="19" t="s">
        <v>372</v>
      </c>
      <c r="B14" s="50">
        <f>$B$5*C14</f>
        <v>0</v>
      </c>
      <c r="C14" s="102">
        <f>C19-C8</f>
        <v>0.83</v>
      </c>
      <c r="D14" s="3"/>
      <c r="E14" s="87"/>
      <c r="F14" s="3"/>
      <c r="K14" s="3"/>
    </row>
    <row r="15" spans="1:14" ht="14.4" x14ac:dyDescent="0.3">
      <c r="A15" s="19" t="s">
        <v>375</v>
      </c>
      <c r="B15" s="50">
        <f>$B$5*C15</f>
        <v>0</v>
      </c>
      <c r="C15" s="102">
        <f>1-C19</f>
        <v>5.0000000000000044E-2</v>
      </c>
      <c r="D15" s="3"/>
      <c r="E15" s="87"/>
      <c r="K15" s="3"/>
      <c r="M15" s="3"/>
    </row>
    <row r="16" spans="1:14" x14ac:dyDescent="0.3">
      <c r="A16" s="19" t="s">
        <v>286</v>
      </c>
      <c r="B16" s="50">
        <f>SUM(B13:B15)</f>
        <v>0</v>
      </c>
      <c r="C16" s="102">
        <f>SUM(C13:C15)</f>
        <v>1</v>
      </c>
      <c r="D16" s="3"/>
      <c r="E16" s="87"/>
      <c r="F16" s="3"/>
      <c r="K16" s="3"/>
    </row>
    <row r="17" spans="1:25" ht="14.4" x14ac:dyDescent="0.3">
      <c r="E17" s="87"/>
      <c r="F17" s="3"/>
      <c r="K17" s="3"/>
      <c r="N17" s="13"/>
    </row>
    <row r="18" spans="1:25" x14ac:dyDescent="0.3">
      <c r="A18" s="83" t="s">
        <v>376</v>
      </c>
      <c r="B18" s="83" t="s">
        <v>369</v>
      </c>
      <c r="C18" s="84" t="s">
        <v>370</v>
      </c>
      <c r="D18" s="70" t="s">
        <v>377</v>
      </c>
      <c r="E18" s="87"/>
      <c r="F18" s="3"/>
      <c r="K18" s="3"/>
      <c r="N18" s="13"/>
    </row>
    <row r="19" spans="1:25" ht="14.4" x14ac:dyDescent="0.3">
      <c r="A19" s="19" t="str">
        <f>"Payment ceiling at "&amp;TEXT(C19,"0%")</f>
        <v>Payment ceiling at 95%</v>
      </c>
      <c r="B19" s="50">
        <f>B5*C19</f>
        <v>0</v>
      </c>
      <c r="C19" s="103">
        <f>Inflows!C22</f>
        <v>0.95</v>
      </c>
      <c r="D19" s="50">
        <f>B5-B19</f>
        <v>0</v>
      </c>
      <c r="E19" s="87"/>
      <c r="F19" s="3"/>
      <c r="K19" s="3"/>
      <c r="N19" s="13"/>
    </row>
    <row r="20" spans="1:25" ht="18" x14ac:dyDescent="0.3">
      <c r="A20" s="19" t="s">
        <v>379</v>
      </c>
      <c r="B20" s="98"/>
      <c r="C20" s="103">
        <f>C8</f>
        <v>0.12</v>
      </c>
      <c r="D20" s="50">
        <f>B8</f>
        <v>0</v>
      </c>
      <c r="E20" s="87"/>
      <c r="K20" s="3"/>
      <c r="N20" s="13"/>
      <c r="O20" s="157" t="s">
        <v>409</v>
      </c>
      <c r="P20" s="157"/>
      <c r="Q20" s="157"/>
      <c r="R20" s="157"/>
      <c r="S20" s="157"/>
      <c r="T20" s="157"/>
      <c r="U20" s="157"/>
      <c r="V20" s="157"/>
      <c r="W20" s="157"/>
      <c r="X20" s="157"/>
      <c r="Y20" s="157"/>
    </row>
    <row r="21" spans="1:25" ht="14.4" x14ac:dyDescent="0.3">
      <c r="A21" s="19" t="s">
        <v>380</v>
      </c>
      <c r="B21" s="50">
        <f>B14</f>
        <v>0</v>
      </c>
      <c r="C21" s="103">
        <f>C19-C20</f>
        <v>0.83</v>
      </c>
      <c r="D21" s="50">
        <f>SUM(D19:D20)</f>
        <v>0</v>
      </c>
      <c r="E21" s="87"/>
      <c r="F21" s="3"/>
      <c r="K21" s="3"/>
      <c r="N21" s="13"/>
    </row>
    <row r="22" spans="1:25" ht="14.4" x14ac:dyDescent="0.3">
      <c r="K22" s="3"/>
      <c r="M22" s="3"/>
      <c r="O22" t="s">
        <v>410</v>
      </c>
    </row>
    <row r="23" spans="1:25" ht="14.4" x14ac:dyDescent="0.3">
      <c r="A23" s="83" t="s">
        <v>411</v>
      </c>
      <c r="B23" s="70">
        <v>2028</v>
      </c>
      <c r="C23" s="70">
        <v>2029</v>
      </c>
      <c r="D23" s="70">
        <v>2030</v>
      </c>
      <c r="E23" s="70">
        <v>2031</v>
      </c>
      <c r="F23" s="70">
        <v>2032</v>
      </c>
      <c r="G23" s="70">
        <v>2033</v>
      </c>
      <c r="H23" s="70">
        <v>2034</v>
      </c>
      <c r="I23" s="70">
        <v>2035</v>
      </c>
      <c r="J23" s="70" t="s">
        <v>362</v>
      </c>
      <c r="K23" s="70" t="s">
        <v>319</v>
      </c>
      <c r="O23" s="83" t="s">
        <v>409</v>
      </c>
      <c r="P23" s="70">
        <v>2028</v>
      </c>
      <c r="Q23" s="70">
        <v>2029</v>
      </c>
      <c r="R23" s="70">
        <v>2030</v>
      </c>
      <c r="S23" s="70">
        <v>2031</v>
      </c>
      <c r="T23" s="70">
        <v>2032</v>
      </c>
      <c r="U23" s="70">
        <v>2033</v>
      </c>
      <c r="V23" s="70">
        <v>2034</v>
      </c>
      <c r="W23" s="70">
        <v>2035</v>
      </c>
      <c r="X23" s="70" t="s">
        <v>362</v>
      </c>
      <c r="Y23" s="70" t="s">
        <v>319</v>
      </c>
    </row>
    <row r="24" spans="1:25" ht="14.4" x14ac:dyDescent="0.3">
      <c r="A24" s="19" t="str">
        <f t="shared" ref="A24:J29" si="0">O24</f>
        <v>Call 1 projects</v>
      </c>
      <c r="B24" s="50">
        <f t="shared" si="0"/>
        <v>0</v>
      </c>
      <c r="C24" s="50">
        <f t="shared" si="0"/>
        <v>0</v>
      </c>
      <c r="D24" s="50">
        <f t="shared" si="0"/>
        <v>0</v>
      </c>
      <c r="E24" s="50">
        <f t="shared" si="0"/>
        <v>0</v>
      </c>
      <c r="F24" s="50">
        <f t="shared" si="0"/>
        <v>0</v>
      </c>
      <c r="G24" s="50">
        <f t="shared" si="0"/>
        <v>0</v>
      </c>
      <c r="H24" s="50">
        <f t="shared" si="0"/>
        <v>0</v>
      </c>
      <c r="I24" s="50">
        <f t="shared" si="0"/>
        <v>0</v>
      </c>
      <c r="J24" s="50">
        <f t="shared" si="0"/>
        <v>0</v>
      </c>
      <c r="K24" s="64">
        <f t="shared" ref="K24:K30" si="1">SUM(B24:J24)</f>
        <v>0</v>
      </c>
      <c r="O24" s="109" t="s">
        <v>412</v>
      </c>
      <c r="P24" s="110"/>
      <c r="Q24" s="110"/>
      <c r="R24" s="110"/>
      <c r="S24" s="110"/>
      <c r="T24" s="110"/>
      <c r="U24" s="110"/>
      <c r="V24" s="110"/>
      <c r="W24" s="110"/>
      <c r="X24" s="110"/>
      <c r="Y24" s="99">
        <f t="shared" ref="Y24:Y30" si="2">SUM(P24:X24)</f>
        <v>0</v>
      </c>
    </row>
    <row r="25" spans="1:25" ht="14.4" x14ac:dyDescent="0.3">
      <c r="A25" s="19" t="str">
        <f t="shared" si="0"/>
        <v>Call 2 projects</v>
      </c>
      <c r="B25" s="50">
        <f t="shared" si="0"/>
        <v>0</v>
      </c>
      <c r="C25" s="50">
        <f t="shared" si="0"/>
        <v>0</v>
      </c>
      <c r="D25" s="50">
        <f t="shared" si="0"/>
        <v>0</v>
      </c>
      <c r="E25" s="50">
        <f t="shared" si="0"/>
        <v>0</v>
      </c>
      <c r="F25" s="50">
        <f t="shared" si="0"/>
        <v>0</v>
      </c>
      <c r="G25" s="50">
        <f t="shared" si="0"/>
        <v>0</v>
      </c>
      <c r="H25" s="50">
        <f t="shared" si="0"/>
        <v>0</v>
      </c>
      <c r="I25" s="50">
        <f t="shared" si="0"/>
        <v>0</v>
      </c>
      <c r="J25" s="50">
        <f t="shared" si="0"/>
        <v>0</v>
      </c>
      <c r="K25" s="64">
        <f t="shared" si="1"/>
        <v>0</v>
      </c>
      <c r="O25" s="109" t="s">
        <v>413</v>
      </c>
      <c r="P25" s="110"/>
      <c r="Q25" s="110"/>
      <c r="R25" s="110"/>
      <c r="S25" s="110"/>
      <c r="T25" s="110"/>
      <c r="U25" s="110"/>
      <c r="V25" s="110"/>
      <c r="W25" s="110"/>
      <c r="X25" s="110"/>
      <c r="Y25" s="99">
        <f t="shared" si="2"/>
        <v>0</v>
      </c>
    </row>
    <row r="26" spans="1:25" ht="14.4" x14ac:dyDescent="0.3">
      <c r="A26" s="19" t="str">
        <f t="shared" si="0"/>
        <v>Call 3 projects</v>
      </c>
      <c r="B26" s="50">
        <f t="shared" si="0"/>
        <v>0</v>
      </c>
      <c r="C26" s="50">
        <f t="shared" si="0"/>
        <v>0</v>
      </c>
      <c r="D26" s="50">
        <f t="shared" si="0"/>
        <v>0</v>
      </c>
      <c r="E26" s="50">
        <f t="shared" si="0"/>
        <v>0</v>
      </c>
      <c r="F26" s="50">
        <f t="shared" si="0"/>
        <v>0</v>
      </c>
      <c r="G26" s="50">
        <f t="shared" si="0"/>
        <v>0</v>
      </c>
      <c r="H26" s="50">
        <f t="shared" si="0"/>
        <v>0</v>
      </c>
      <c r="I26" s="50">
        <f t="shared" si="0"/>
        <v>0</v>
      </c>
      <c r="J26" s="50">
        <f t="shared" si="0"/>
        <v>0</v>
      </c>
      <c r="K26" s="64">
        <f t="shared" si="1"/>
        <v>0</v>
      </c>
      <c r="O26" s="109" t="s">
        <v>414</v>
      </c>
      <c r="P26" s="110"/>
      <c r="Q26" s="110"/>
      <c r="R26" s="110"/>
      <c r="S26" s="110"/>
      <c r="T26" s="110"/>
      <c r="U26" s="110"/>
      <c r="V26" s="110"/>
      <c r="W26" s="110"/>
      <c r="X26" s="110"/>
      <c r="Y26" s="99">
        <f t="shared" si="2"/>
        <v>0</v>
      </c>
    </row>
    <row r="27" spans="1:25" ht="14.4" x14ac:dyDescent="0.3">
      <c r="A27" s="19" t="str">
        <f t="shared" si="0"/>
        <v>Call 4  projects</v>
      </c>
      <c r="B27" s="50">
        <f t="shared" si="0"/>
        <v>0</v>
      </c>
      <c r="C27" s="50">
        <f t="shared" si="0"/>
        <v>0</v>
      </c>
      <c r="D27" s="50">
        <f t="shared" si="0"/>
        <v>0</v>
      </c>
      <c r="E27" s="50">
        <f t="shared" si="0"/>
        <v>0</v>
      </c>
      <c r="F27" s="50">
        <f t="shared" si="0"/>
        <v>0</v>
      </c>
      <c r="G27" s="50">
        <f t="shared" si="0"/>
        <v>0</v>
      </c>
      <c r="H27" s="50">
        <f t="shared" si="0"/>
        <v>0</v>
      </c>
      <c r="I27" s="50">
        <f t="shared" si="0"/>
        <v>0</v>
      </c>
      <c r="J27" s="50">
        <f t="shared" si="0"/>
        <v>0</v>
      </c>
      <c r="K27" s="64">
        <f t="shared" si="1"/>
        <v>0</v>
      </c>
      <c r="O27" s="109" t="s">
        <v>415</v>
      </c>
      <c r="P27" s="110"/>
      <c r="Q27" s="110"/>
      <c r="R27" s="110"/>
      <c r="S27" s="110"/>
      <c r="T27" s="110"/>
      <c r="U27" s="110"/>
      <c r="V27" s="110"/>
      <c r="W27" s="110"/>
      <c r="X27" s="110"/>
      <c r="Y27" s="99">
        <f t="shared" si="2"/>
        <v>0</v>
      </c>
    </row>
    <row r="28" spans="1:25" ht="14.4" x14ac:dyDescent="0.3">
      <c r="A28" s="19" t="str">
        <f t="shared" si="0"/>
        <v>Call 5  projects</v>
      </c>
      <c r="B28" s="50">
        <f t="shared" si="0"/>
        <v>0</v>
      </c>
      <c r="C28" s="50">
        <f t="shared" si="0"/>
        <v>0</v>
      </c>
      <c r="D28" s="50">
        <f t="shared" si="0"/>
        <v>0</v>
      </c>
      <c r="E28" s="50">
        <f t="shared" si="0"/>
        <v>0</v>
      </c>
      <c r="F28" s="50">
        <f t="shared" si="0"/>
        <v>0</v>
      </c>
      <c r="G28" s="50">
        <f t="shared" si="0"/>
        <v>0</v>
      </c>
      <c r="H28" s="50">
        <f t="shared" si="0"/>
        <v>0</v>
      </c>
      <c r="I28" s="50">
        <f t="shared" si="0"/>
        <v>0</v>
      </c>
      <c r="J28" s="50">
        <f t="shared" si="0"/>
        <v>0</v>
      </c>
      <c r="K28" s="64">
        <f t="shared" si="1"/>
        <v>0</v>
      </c>
      <c r="O28" s="109" t="s">
        <v>416</v>
      </c>
      <c r="P28" s="110"/>
      <c r="Q28" s="110"/>
      <c r="R28" s="110"/>
      <c r="S28" s="110"/>
      <c r="T28" s="110"/>
      <c r="U28" s="110"/>
      <c r="V28" s="110"/>
      <c r="W28" s="110"/>
      <c r="X28" s="110"/>
      <c r="Y28" s="99">
        <f t="shared" si="2"/>
        <v>0</v>
      </c>
    </row>
    <row r="29" spans="1:25" ht="14.4" x14ac:dyDescent="0.3">
      <c r="A29" s="19" t="str">
        <f t="shared" si="0"/>
        <v>Call 6 projects</v>
      </c>
      <c r="B29" s="50">
        <f t="shared" si="0"/>
        <v>0</v>
      </c>
      <c r="C29" s="50">
        <f t="shared" si="0"/>
        <v>0</v>
      </c>
      <c r="D29" s="50">
        <f t="shared" si="0"/>
        <v>0</v>
      </c>
      <c r="E29" s="50">
        <f t="shared" si="0"/>
        <v>0</v>
      </c>
      <c r="F29" s="50">
        <f t="shared" si="0"/>
        <v>0</v>
      </c>
      <c r="G29" s="50">
        <f t="shared" si="0"/>
        <v>0</v>
      </c>
      <c r="H29" s="50">
        <f t="shared" si="0"/>
        <v>0</v>
      </c>
      <c r="I29" s="50">
        <f t="shared" si="0"/>
        <v>0</v>
      </c>
      <c r="J29" s="50">
        <f t="shared" si="0"/>
        <v>0</v>
      </c>
      <c r="K29" s="64">
        <f t="shared" si="1"/>
        <v>0</v>
      </c>
      <c r="O29" s="109" t="s">
        <v>417</v>
      </c>
      <c r="P29" s="110"/>
      <c r="Q29" s="110"/>
      <c r="R29" s="110"/>
      <c r="S29" s="110"/>
      <c r="T29" s="110"/>
      <c r="U29" s="110"/>
      <c r="V29" s="110"/>
      <c r="W29" s="110"/>
      <c r="X29" s="110"/>
      <c r="Y29" s="99">
        <f t="shared" si="2"/>
        <v>0</v>
      </c>
    </row>
    <row r="30" spans="1:25" ht="14.4" x14ac:dyDescent="0.3">
      <c r="A30" s="19" t="s">
        <v>450</v>
      </c>
      <c r="B30" s="50">
        <f t="shared" ref="B30:J30" si="3">SUM(B24:B29)</f>
        <v>0</v>
      </c>
      <c r="C30" s="64">
        <f t="shared" si="3"/>
        <v>0</v>
      </c>
      <c r="D30" s="64">
        <f t="shared" si="3"/>
        <v>0</v>
      </c>
      <c r="E30" s="64">
        <f t="shared" si="3"/>
        <v>0</v>
      </c>
      <c r="F30" s="64">
        <f t="shared" si="3"/>
        <v>0</v>
      </c>
      <c r="G30" s="64">
        <f t="shared" si="3"/>
        <v>0</v>
      </c>
      <c r="H30" s="64">
        <f t="shared" si="3"/>
        <v>0</v>
      </c>
      <c r="I30" s="64">
        <f t="shared" si="3"/>
        <v>0</v>
      </c>
      <c r="J30" s="64">
        <f t="shared" si="3"/>
        <v>0</v>
      </c>
      <c r="K30" s="64">
        <f t="shared" si="1"/>
        <v>0</v>
      </c>
      <c r="O30" s="19" t="s">
        <v>450</v>
      </c>
      <c r="P30" s="99">
        <f t="shared" ref="P30:X30" si="4">SUM(P24:P29)</f>
        <v>0</v>
      </c>
      <c r="Q30" s="99">
        <f t="shared" si="4"/>
        <v>0</v>
      </c>
      <c r="R30" s="99">
        <f t="shared" si="4"/>
        <v>0</v>
      </c>
      <c r="S30" s="99">
        <f t="shared" si="4"/>
        <v>0</v>
      </c>
      <c r="T30" s="99">
        <f t="shared" si="4"/>
        <v>0</v>
      </c>
      <c r="U30" s="99">
        <f t="shared" si="4"/>
        <v>0</v>
      </c>
      <c r="V30" s="99">
        <f t="shared" si="4"/>
        <v>0</v>
      </c>
      <c r="W30" s="99">
        <f t="shared" si="4"/>
        <v>0</v>
      </c>
      <c r="X30" s="99">
        <f t="shared" si="4"/>
        <v>0</v>
      </c>
      <c r="Y30" s="99">
        <f t="shared" si="2"/>
        <v>0</v>
      </c>
    </row>
    <row r="32" spans="1:25" ht="14.4" x14ac:dyDescent="0.3">
      <c r="A32" s="83" t="s">
        <v>419</v>
      </c>
      <c r="B32" s="70">
        <v>2028</v>
      </c>
      <c r="C32" s="70">
        <v>2029</v>
      </c>
      <c r="D32" s="70">
        <v>2030</v>
      </c>
      <c r="E32" s="70">
        <v>2031</v>
      </c>
      <c r="F32" s="70">
        <v>2032</v>
      </c>
      <c r="G32" s="70">
        <v>2033</v>
      </c>
      <c r="H32" s="70">
        <v>2034</v>
      </c>
      <c r="I32" s="70">
        <v>2035</v>
      </c>
      <c r="J32" s="70" t="s">
        <v>362</v>
      </c>
      <c r="K32" s="70" t="s">
        <v>319</v>
      </c>
      <c r="L32" s="11"/>
    </row>
    <row r="33" spans="1:25" ht="14.4" x14ac:dyDescent="0.3">
      <c r="A33" s="19" t="s">
        <v>420</v>
      </c>
      <c r="B33" s="50">
        <f>IF(Inflows!$J$7=0,0,Inflows!B28/Inflows!$J$7*$B$5)</f>
        <v>0</v>
      </c>
      <c r="C33" s="50">
        <f>IF(Inflows!$J$7=0,0,Inflows!C28/Inflows!$J$7*$B$5)</f>
        <v>0</v>
      </c>
      <c r="D33" s="50">
        <f>IF(Inflows!$J$7=0,0,Inflows!D28/Inflows!$J$7*$B$5)</f>
        <v>0</v>
      </c>
      <c r="E33" s="50">
        <f>IF(Inflows!$J$7=0,0,Inflows!E28/Inflows!$J$7*$B$5)</f>
        <v>0</v>
      </c>
      <c r="F33" s="50">
        <f>IF(Inflows!$J$7=0,0,Inflows!F28/Inflows!$J$7*$B$5)</f>
        <v>0</v>
      </c>
      <c r="G33" s="50">
        <f>IF(Inflows!$J$7=0,0,Inflows!G28/Inflows!$J$7*$B$5)</f>
        <v>0</v>
      </c>
      <c r="H33" s="50">
        <f>IF(Inflows!$J$7=0,0,Inflows!H28/Inflows!$J$7*$B$5)</f>
        <v>0</v>
      </c>
      <c r="I33" s="50">
        <f>IF(Inflows!$J$7=0,0,Inflows!I28/Inflows!$J$7*$B$5)</f>
        <v>0</v>
      </c>
      <c r="J33" s="88"/>
      <c r="K33" s="64">
        <f>SUM(B33:J33)</f>
        <v>0</v>
      </c>
      <c r="L33" s="1"/>
    </row>
    <row r="34" spans="1:25" ht="18" x14ac:dyDescent="0.3">
      <c r="A34" s="19" t="s">
        <v>383</v>
      </c>
      <c r="B34" s="50">
        <f>'pay out values'!P116</f>
        <v>0</v>
      </c>
      <c r="C34" s="50">
        <f>'pay out values'!Q116</f>
        <v>0</v>
      </c>
      <c r="D34" s="50">
        <f>'pay out values'!R116</f>
        <v>0</v>
      </c>
      <c r="E34" s="50">
        <f>'pay out values'!S116</f>
        <v>0</v>
      </c>
      <c r="F34" s="50">
        <f>'pay out values'!T116</f>
        <v>0</v>
      </c>
      <c r="G34" s="50">
        <f>'pay out values'!U116</f>
        <v>0</v>
      </c>
      <c r="H34" s="50">
        <f>'pay out values'!V116</f>
        <v>0</v>
      </c>
      <c r="I34" s="50">
        <f>'pay out values'!W116</f>
        <v>0</v>
      </c>
      <c r="J34" s="88"/>
      <c r="K34" s="64">
        <f>SUM(B34:J34)</f>
        <v>0</v>
      </c>
      <c r="O34" s="157" t="s">
        <v>421</v>
      </c>
      <c r="P34" s="157"/>
      <c r="Q34" s="157"/>
      <c r="R34" s="157"/>
      <c r="S34" s="157"/>
      <c r="T34" s="157"/>
      <c r="U34" s="157"/>
      <c r="V34" s="157"/>
      <c r="W34" s="157"/>
      <c r="X34" s="157"/>
      <c r="Y34" s="157"/>
    </row>
    <row r="35" spans="1:25" ht="14.4" x14ac:dyDescent="0.3">
      <c r="A35" s="19" t="s">
        <v>384</v>
      </c>
      <c r="B35" s="50">
        <f>B34</f>
        <v>0</v>
      </c>
      <c r="C35" s="50">
        <f t="shared" ref="C35:I35" si="5">B35+C34</f>
        <v>0</v>
      </c>
      <c r="D35" s="50">
        <f t="shared" si="5"/>
        <v>0</v>
      </c>
      <c r="E35" s="50">
        <f t="shared" si="5"/>
        <v>0</v>
      </c>
      <c r="F35" s="50">
        <f t="shared" si="5"/>
        <v>0</v>
      </c>
      <c r="G35" s="50">
        <f t="shared" si="5"/>
        <v>0</v>
      </c>
      <c r="H35" s="50">
        <f t="shared" si="5"/>
        <v>0</v>
      </c>
      <c r="I35" s="50">
        <f t="shared" si="5"/>
        <v>0</v>
      </c>
      <c r="J35" s="88"/>
      <c r="K35" s="107"/>
    </row>
    <row r="36" spans="1:25" ht="14.4" x14ac:dyDescent="0.3">
      <c r="A36" s="19" t="s">
        <v>385</v>
      </c>
      <c r="B36" s="50">
        <f>B35+SUM($B33:B33)</f>
        <v>0</v>
      </c>
      <c r="C36" s="50">
        <f>C35+SUM($B33:C33)</f>
        <v>0</v>
      </c>
      <c r="D36" s="50">
        <f>D35+SUM($B33:D33)</f>
        <v>0</v>
      </c>
      <c r="E36" s="50">
        <f>E35+SUM($B33:E33)</f>
        <v>0</v>
      </c>
      <c r="F36" s="50">
        <f>F35+SUM($B33:F33)</f>
        <v>0</v>
      </c>
      <c r="G36" s="50">
        <f>G35+SUM($B33:G33)</f>
        <v>0</v>
      </c>
      <c r="H36" s="50">
        <f>H35+SUM($B33:H33)</f>
        <v>0</v>
      </c>
      <c r="I36" s="50">
        <f>I35+SUM($B33:I33)</f>
        <v>0</v>
      </c>
      <c r="J36" s="88"/>
      <c r="K36" s="107"/>
      <c r="O36" s="177" t="s">
        <v>422</v>
      </c>
      <c r="P36" s="178"/>
      <c r="Q36" s="178"/>
      <c r="R36" s="178"/>
      <c r="S36" s="178"/>
      <c r="T36" s="178"/>
      <c r="U36" s="178"/>
      <c r="V36" s="178"/>
    </row>
    <row r="37" spans="1:25" ht="14.4" x14ac:dyDescent="0.3">
      <c r="A37" s="19" t="str">
        <f>"amount above "&amp;TEXT($C$19,"0%")&amp;" ceiling"</f>
        <v>amount above 95% ceiling</v>
      </c>
      <c r="B37" s="50">
        <f t="shared" ref="B37:I37" si="6">IF(B36&gt;$B$19, B36-$B$19, 0)</f>
        <v>0</v>
      </c>
      <c r="C37" s="50">
        <f t="shared" si="6"/>
        <v>0</v>
      </c>
      <c r="D37" s="50">
        <f t="shared" si="6"/>
        <v>0</v>
      </c>
      <c r="E37" s="50">
        <f t="shared" si="6"/>
        <v>0</v>
      </c>
      <c r="F37" s="50">
        <f t="shared" si="6"/>
        <v>0</v>
      </c>
      <c r="G37" s="50">
        <f t="shared" si="6"/>
        <v>0</v>
      </c>
      <c r="H37" s="50">
        <f t="shared" si="6"/>
        <v>0</v>
      </c>
      <c r="I37" s="50">
        <f t="shared" si="6"/>
        <v>0</v>
      </c>
      <c r="J37" s="88"/>
      <c r="K37" s="107"/>
      <c r="O37" s="83" t="s">
        <v>423</v>
      </c>
      <c r="P37" s="70" t="s">
        <v>424</v>
      </c>
      <c r="Q37" s="70" t="s">
        <v>425</v>
      </c>
      <c r="R37" s="70" t="s">
        <v>426</v>
      </c>
      <c r="S37" s="70" t="s">
        <v>427</v>
      </c>
      <c r="T37" s="70" t="s">
        <v>428</v>
      </c>
      <c r="U37" s="70" t="s">
        <v>429</v>
      </c>
      <c r="V37" s="70" t="s">
        <v>319</v>
      </c>
    </row>
    <row r="38" spans="1:25" ht="14.4" x14ac:dyDescent="0.3">
      <c r="A38" s="19" t="str">
        <f>"clearance of pre-financing AND impact of "&amp;TEXT($C$19,"0%")&amp;" ceiling"</f>
        <v>clearance of pre-financing AND impact of 95% ceiling</v>
      </c>
      <c r="B38" s="50">
        <f>MIN(B36,$B$19)-B33-B34</f>
        <v>0</v>
      </c>
      <c r="C38" s="50">
        <f t="shared" ref="C38:I38" si="7">MIN(C36,$B$19)-MIN(B36,$B$19)-C33-C34</f>
        <v>0</v>
      </c>
      <c r="D38" s="50">
        <f t="shared" si="7"/>
        <v>0</v>
      </c>
      <c r="E38" s="50">
        <f t="shared" si="7"/>
        <v>0</v>
      </c>
      <c r="F38" s="50">
        <f t="shared" si="7"/>
        <v>0</v>
      </c>
      <c r="G38" s="50">
        <f t="shared" si="7"/>
        <v>0</v>
      </c>
      <c r="H38" s="50">
        <f t="shared" si="7"/>
        <v>0</v>
      </c>
      <c r="I38" s="50">
        <f t="shared" si="7"/>
        <v>0</v>
      </c>
      <c r="J38" s="88"/>
      <c r="K38" s="64">
        <f>SUM(B38:J38)</f>
        <v>0</v>
      </c>
      <c r="O38" s="83" t="s">
        <v>430</v>
      </c>
      <c r="P38" s="111">
        <v>0.05</v>
      </c>
      <c r="Q38" s="111">
        <v>0.15</v>
      </c>
      <c r="R38" s="111">
        <v>0.35</v>
      </c>
      <c r="S38" s="111">
        <v>0.25</v>
      </c>
      <c r="T38" s="111">
        <v>0.15</v>
      </c>
      <c r="U38" s="111">
        <v>0.05</v>
      </c>
      <c r="V38" s="100">
        <f>SUM(P38:U38)</f>
        <v>1</v>
      </c>
    </row>
    <row r="39" spans="1:25" x14ac:dyDescent="0.3">
      <c r="A39" s="19" t="str">
        <f>TEXT(1-$C$19,"0%")&amp;" paid after programme closure"</f>
        <v>5% paid after programme closure</v>
      </c>
      <c r="B39" s="89"/>
      <c r="C39" s="90"/>
      <c r="D39" s="90"/>
      <c r="E39" s="90"/>
      <c r="F39" s="90"/>
      <c r="G39" s="90"/>
      <c r="H39" s="90"/>
      <c r="I39" s="91"/>
      <c r="J39" s="50">
        <f>B15</f>
        <v>0</v>
      </c>
      <c r="K39" s="64">
        <f>SUM(B39:J39)</f>
        <v>0</v>
      </c>
      <c r="O39" s="83" t="s">
        <v>431</v>
      </c>
      <c r="P39" s="95">
        <f t="shared" ref="P39:U39" si="8">P38*$T$42</f>
        <v>0</v>
      </c>
      <c r="Q39" s="95">
        <f t="shared" si="8"/>
        <v>0</v>
      </c>
      <c r="R39" s="95">
        <f t="shared" si="8"/>
        <v>0</v>
      </c>
      <c r="S39" s="95">
        <f t="shared" si="8"/>
        <v>0</v>
      </c>
      <c r="T39" s="95">
        <f t="shared" si="8"/>
        <v>0</v>
      </c>
      <c r="U39" s="95">
        <f t="shared" si="8"/>
        <v>0</v>
      </c>
      <c r="V39" s="95">
        <f>SUM(P39:U39)</f>
        <v>0</v>
      </c>
    </row>
    <row r="40" spans="1:25" ht="14.4" x14ac:dyDescent="0.3">
      <c r="A40" s="19" t="s">
        <v>386</v>
      </c>
      <c r="B40" s="64">
        <f t="shared" ref="B40:J40" si="9">B34+B38+B39</f>
        <v>0</v>
      </c>
      <c r="C40" s="64">
        <f t="shared" si="9"/>
        <v>0</v>
      </c>
      <c r="D40" s="64">
        <f t="shared" si="9"/>
        <v>0</v>
      </c>
      <c r="E40" s="64">
        <f t="shared" si="9"/>
        <v>0</v>
      </c>
      <c r="F40" s="64">
        <f t="shared" si="9"/>
        <v>0</v>
      </c>
      <c r="G40" s="64">
        <f t="shared" si="9"/>
        <v>0</v>
      </c>
      <c r="H40" s="64">
        <f t="shared" si="9"/>
        <v>0</v>
      </c>
      <c r="I40" s="64">
        <f t="shared" si="9"/>
        <v>0</v>
      </c>
      <c r="J40" s="64">
        <f t="shared" si="9"/>
        <v>0</v>
      </c>
      <c r="K40" s="64">
        <f>SUM(B40:J40)</f>
        <v>0</v>
      </c>
      <c r="L40" s="1"/>
    </row>
    <row r="41" spans="1:25" ht="14.4" x14ac:dyDescent="0.3">
      <c r="A41" s="19" t="s">
        <v>387</v>
      </c>
      <c r="B41" s="93">
        <f t="shared" ref="B41:I41" si="10">IF(B34=0,0,B40/B34)</f>
        <v>0</v>
      </c>
      <c r="C41" s="93">
        <f t="shared" si="10"/>
        <v>0</v>
      </c>
      <c r="D41" s="93">
        <f t="shared" si="10"/>
        <v>0</v>
      </c>
      <c r="E41" s="93">
        <f t="shared" si="10"/>
        <v>0</v>
      </c>
      <c r="F41" s="93">
        <f t="shared" si="10"/>
        <v>0</v>
      </c>
      <c r="G41" s="93">
        <f t="shared" si="10"/>
        <v>0</v>
      </c>
      <c r="H41" s="93">
        <f t="shared" si="10"/>
        <v>0</v>
      </c>
      <c r="I41" s="93">
        <f t="shared" si="10"/>
        <v>0</v>
      </c>
      <c r="J41" s="98"/>
      <c r="K41" s="98"/>
      <c r="L41" s="1"/>
      <c r="P41" s="13" t="s">
        <v>432</v>
      </c>
      <c r="T41" t="s">
        <v>433</v>
      </c>
    </row>
    <row r="42" spans="1:25" ht="14.4" x14ac:dyDescent="0.3">
      <c r="A42" s="106" t="s">
        <v>434</v>
      </c>
      <c r="O42" s="112" t="s">
        <v>435</v>
      </c>
      <c r="P42" s="113"/>
      <c r="Q42" s="112" t="s">
        <v>436</v>
      </c>
      <c r="R42" s="113"/>
      <c r="S42" s="114"/>
      <c r="T42" s="110"/>
    </row>
    <row r="43" spans="1:25" ht="14.4" x14ac:dyDescent="0.3">
      <c r="O43" s="112" t="s">
        <v>437</v>
      </c>
      <c r="P43" s="113"/>
      <c r="Q43" s="112" t="s">
        <v>438</v>
      </c>
      <c r="R43" s="113"/>
      <c r="S43" s="114"/>
      <c r="T43" s="114"/>
    </row>
    <row r="44" spans="1:25" ht="14.4" x14ac:dyDescent="0.3">
      <c r="A44" s="83" t="s">
        <v>404</v>
      </c>
      <c r="B44" s="70">
        <v>2028</v>
      </c>
      <c r="C44" s="70">
        <v>2029</v>
      </c>
      <c r="D44" s="70">
        <v>2030</v>
      </c>
      <c r="E44" s="70">
        <v>2031</v>
      </c>
      <c r="F44" s="70">
        <v>2032</v>
      </c>
      <c r="G44" s="70">
        <v>2033</v>
      </c>
      <c r="H44" s="70">
        <v>2034</v>
      </c>
      <c r="I44" s="70">
        <v>2035</v>
      </c>
      <c r="J44" s="70" t="s">
        <v>362</v>
      </c>
      <c r="K44" s="70" t="s">
        <v>319</v>
      </c>
      <c r="O44" s="112" t="s">
        <v>439</v>
      </c>
      <c r="P44" s="113"/>
      <c r="Q44" s="112" t="s">
        <v>440</v>
      </c>
      <c r="R44" s="113"/>
      <c r="S44" s="114"/>
      <c r="T44" s="114" t="s">
        <v>441</v>
      </c>
    </row>
    <row r="45" spans="1:25" ht="14.4" x14ac:dyDescent="0.3">
      <c r="A45" s="19" t="s">
        <v>442</v>
      </c>
      <c r="B45" s="50">
        <f t="shared" ref="B45:J45" si="11">B33+B40</f>
        <v>0</v>
      </c>
      <c r="C45" s="50">
        <f t="shared" si="11"/>
        <v>0</v>
      </c>
      <c r="D45" s="50">
        <f t="shared" si="11"/>
        <v>0</v>
      </c>
      <c r="E45" s="50">
        <f t="shared" si="11"/>
        <v>0</v>
      </c>
      <c r="F45" s="50">
        <f t="shared" si="11"/>
        <v>0</v>
      </c>
      <c r="G45" s="50">
        <f t="shared" si="11"/>
        <v>0</v>
      </c>
      <c r="H45" s="50">
        <f t="shared" si="11"/>
        <v>0</v>
      </c>
      <c r="I45" s="50">
        <f t="shared" si="11"/>
        <v>0</v>
      </c>
      <c r="J45" s="50">
        <f t="shared" si="11"/>
        <v>0</v>
      </c>
      <c r="K45" s="64">
        <f>SUM(B45:J45)</f>
        <v>0</v>
      </c>
    </row>
    <row r="46" spans="1:25" ht="14.4" x14ac:dyDescent="0.3">
      <c r="A46" s="19" t="s">
        <v>443</v>
      </c>
      <c r="B46" s="50">
        <f t="shared" ref="B46:J46" si="12">P30</f>
        <v>0</v>
      </c>
      <c r="C46" s="50">
        <f t="shared" si="12"/>
        <v>0</v>
      </c>
      <c r="D46" s="50">
        <f t="shared" si="12"/>
        <v>0</v>
      </c>
      <c r="E46" s="50">
        <f t="shared" si="12"/>
        <v>0</v>
      </c>
      <c r="F46" s="50">
        <f t="shared" si="12"/>
        <v>0</v>
      </c>
      <c r="G46" s="50">
        <f t="shared" si="12"/>
        <v>0</v>
      </c>
      <c r="H46" s="50">
        <f t="shared" si="12"/>
        <v>0</v>
      </c>
      <c r="I46" s="50">
        <f t="shared" si="12"/>
        <v>0</v>
      </c>
      <c r="J46" s="50">
        <f t="shared" si="12"/>
        <v>0</v>
      </c>
      <c r="K46" s="64">
        <f>SUM(B46:J46)</f>
        <v>0</v>
      </c>
      <c r="O46" s="83" t="s">
        <v>409</v>
      </c>
      <c r="P46" s="70">
        <v>2028</v>
      </c>
      <c r="Q46" s="70">
        <v>2029</v>
      </c>
      <c r="R46" s="70">
        <v>2030</v>
      </c>
      <c r="S46" s="70">
        <v>2031</v>
      </c>
      <c r="T46" s="70">
        <v>2032</v>
      </c>
      <c r="U46" s="70">
        <v>2033</v>
      </c>
      <c r="V46" s="70">
        <v>2034</v>
      </c>
      <c r="W46" s="70">
        <v>2035</v>
      </c>
      <c r="X46" s="70" t="s">
        <v>362</v>
      </c>
      <c r="Y46" s="70" t="s">
        <v>319</v>
      </c>
    </row>
    <row r="47" spans="1:25" ht="14.4" x14ac:dyDescent="0.3">
      <c r="A47" s="19" t="s">
        <v>444</v>
      </c>
      <c r="B47" s="50">
        <f t="shared" ref="B47:J47" si="13">B45-B46</f>
        <v>0</v>
      </c>
      <c r="C47" s="50">
        <f t="shared" si="13"/>
        <v>0</v>
      </c>
      <c r="D47" s="50">
        <f t="shared" si="13"/>
        <v>0</v>
      </c>
      <c r="E47" s="50">
        <f t="shared" si="13"/>
        <v>0</v>
      </c>
      <c r="F47" s="50">
        <f t="shared" si="13"/>
        <v>0</v>
      </c>
      <c r="G47" s="50">
        <f t="shared" si="13"/>
        <v>0</v>
      </c>
      <c r="H47" s="50">
        <f t="shared" si="13"/>
        <v>0</v>
      </c>
      <c r="I47" s="50">
        <f t="shared" si="13"/>
        <v>0</v>
      </c>
      <c r="J47" s="50">
        <f t="shared" si="13"/>
        <v>0</v>
      </c>
      <c r="K47" s="98"/>
      <c r="O47" s="113" t="s">
        <v>412</v>
      </c>
      <c r="P47" s="110"/>
      <c r="Q47" s="110">
        <f>$P$42*P$39</f>
        <v>0</v>
      </c>
      <c r="R47" s="110">
        <f>$P$42*(Q$39+R$39)</f>
        <v>0</v>
      </c>
      <c r="S47" s="110">
        <f>$P$42*(S$39+T$39)</f>
        <v>0</v>
      </c>
      <c r="T47" s="110">
        <f>$P$42*U$39</f>
        <v>0</v>
      </c>
      <c r="U47" s="110"/>
      <c r="V47" s="110"/>
      <c r="W47" s="110"/>
      <c r="X47" s="110"/>
      <c r="Y47" s="99">
        <f t="shared" ref="Y47:Y53" si="14">SUM(P47:X47)</f>
        <v>0</v>
      </c>
    </row>
    <row r="48" spans="1:25" ht="14.4" x14ac:dyDescent="0.3">
      <c r="A48" s="19" t="s">
        <v>445</v>
      </c>
      <c r="B48" s="50">
        <f>B47</f>
        <v>0</v>
      </c>
      <c r="C48" s="50">
        <f t="shared" ref="C48:J48" si="15">B48+C47</f>
        <v>0</v>
      </c>
      <c r="D48" s="50">
        <f t="shared" si="15"/>
        <v>0</v>
      </c>
      <c r="E48" s="50">
        <f t="shared" si="15"/>
        <v>0</v>
      </c>
      <c r="F48" s="50">
        <f t="shared" si="15"/>
        <v>0</v>
      </c>
      <c r="G48" s="50">
        <f t="shared" si="15"/>
        <v>0</v>
      </c>
      <c r="H48" s="50">
        <f t="shared" si="15"/>
        <v>0</v>
      </c>
      <c r="I48" s="50">
        <f t="shared" si="15"/>
        <v>0</v>
      </c>
      <c r="J48" s="50">
        <f t="shared" si="15"/>
        <v>0</v>
      </c>
      <c r="K48" s="98"/>
      <c r="O48" s="113" t="s">
        <v>413</v>
      </c>
      <c r="P48" s="110"/>
      <c r="Q48" s="110"/>
      <c r="R48" s="110">
        <f>$P$43*P$39</f>
        <v>0</v>
      </c>
      <c r="S48" s="110">
        <f>$P$43*(Q$39+R$39)</f>
        <v>0</v>
      </c>
      <c r="T48" s="110">
        <f>$P$43*(S$39+T$39)</f>
        <v>0</v>
      </c>
      <c r="U48" s="110">
        <f>$P$43*U$39</f>
        <v>0</v>
      </c>
      <c r="V48" s="110"/>
      <c r="W48" s="110"/>
      <c r="X48" s="110"/>
      <c r="Y48" s="99">
        <f t="shared" si="14"/>
        <v>0</v>
      </c>
    </row>
    <row r="49" spans="1:25" ht="14.4" x14ac:dyDescent="0.3">
      <c r="O49" s="113" t="s">
        <v>414</v>
      </c>
      <c r="P49" s="110"/>
      <c r="Q49" s="110"/>
      <c r="R49" s="110"/>
      <c r="S49" s="110">
        <f>$P$44*P$39</f>
        <v>0</v>
      </c>
      <c r="T49" s="110">
        <f>$P$44*(Q$39+R$39)</f>
        <v>0</v>
      </c>
      <c r="U49" s="110">
        <f>$P$44*(S$39+T$39)</f>
        <v>0</v>
      </c>
      <c r="V49" s="110">
        <f>$P$44*U$39</f>
        <v>0</v>
      </c>
      <c r="W49" s="110"/>
      <c r="X49" s="110"/>
      <c r="Y49" s="99">
        <f t="shared" si="14"/>
        <v>0</v>
      </c>
    </row>
    <row r="50" spans="1:25" ht="14.4" x14ac:dyDescent="0.3">
      <c r="O50" s="113" t="s">
        <v>415</v>
      </c>
      <c r="P50" s="110"/>
      <c r="Q50" s="110"/>
      <c r="R50" s="110"/>
      <c r="S50" s="110"/>
      <c r="T50" s="110"/>
      <c r="U50" s="110"/>
      <c r="V50" s="110"/>
      <c r="W50" s="110"/>
      <c r="X50" s="110"/>
      <c r="Y50" s="99">
        <f t="shared" si="14"/>
        <v>0</v>
      </c>
    </row>
    <row r="51" spans="1:25" ht="14.4" x14ac:dyDescent="0.3">
      <c r="A51" s="101" t="s">
        <v>446</v>
      </c>
      <c r="B51" s="70">
        <v>2028</v>
      </c>
      <c r="C51" s="70">
        <v>2029</v>
      </c>
      <c r="D51" s="70">
        <v>2030</v>
      </c>
      <c r="E51" s="70">
        <v>2031</v>
      </c>
      <c r="F51" s="70">
        <v>2032</v>
      </c>
      <c r="G51" s="70">
        <v>2033</v>
      </c>
      <c r="H51" s="70">
        <v>2034</v>
      </c>
      <c r="I51" s="70">
        <v>2035</v>
      </c>
      <c r="J51" s="70" t="s">
        <v>362</v>
      </c>
      <c r="O51" s="113" t="s">
        <v>416</v>
      </c>
      <c r="P51" s="110"/>
      <c r="Q51" s="110"/>
      <c r="R51" s="110"/>
      <c r="S51" s="110"/>
      <c r="T51" s="110"/>
      <c r="U51" s="110"/>
      <c r="V51" s="110"/>
      <c r="W51" s="110"/>
      <c r="X51" s="110"/>
      <c r="Y51" s="99">
        <f t="shared" si="14"/>
        <v>0</v>
      </c>
    </row>
    <row r="52" spans="1:25" x14ac:dyDescent="0.3">
      <c r="A52" s="19" t="s">
        <v>405</v>
      </c>
      <c r="B52" s="50">
        <f>B45</f>
        <v>0</v>
      </c>
      <c r="C52" s="50">
        <f t="shared" ref="C52:J53" si="16">B52+C45</f>
        <v>0</v>
      </c>
      <c r="D52" s="50">
        <f t="shared" si="16"/>
        <v>0</v>
      </c>
      <c r="E52" s="50">
        <f t="shared" si="16"/>
        <v>0</v>
      </c>
      <c r="F52" s="50">
        <f t="shared" si="16"/>
        <v>0</v>
      </c>
      <c r="G52" s="50">
        <f t="shared" si="16"/>
        <v>0</v>
      </c>
      <c r="H52" s="50">
        <f t="shared" si="16"/>
        <v>0</v>
      </c>
      <c r="I52" s="50">
        <f t="shared" si="16"/>
        <v>0</v>
      </c>
      <c r="J52" s="50">
        <f t="shared" si="16"/>
        <v>0</v>
      </c>
      <c r="K52" s="1"/>
      <c r="O52" s="113" t="s">
        <v>417</v>
      </c>
      <c r="P52" s="110"/>
      <c r="Q52" s="110"/>
      <c r="R52" s="110"/>
      <c r="S52" s="110"/>
      <c r="T52" s="110"/>
      <c r="U52" s="110"/>
      <c r="V52" s="110"/>
      <c r="W52" s="110"/>
      <c r="X52" s="110"/>
      <c r="Y52" s="99">
        <f t="shared" si="14"/>
        <v>0</v>
      </c>
    </row>
    <row r="53" spans="1:25" x14ac:dyDescent="0.3">
      <c r="A53" s="19" t="s">
        <v>406</v>
      </c>
      <c r="B53" s="50">
        <f>B46</f>
        <v>0</v>
      </c>
      <c r="C53" s="50">
        <f t="shared" si="16"/>
        <v>0</v>
      </c>
      <c r="D53" s="50">
        <f t="shared" si="16"/>
        <v>0</v>
      </c>
      <c r="E53" s="50">
        <f t="shared" si="16"/>
        <v>0</v>
      </c>
      <c r="F53" s="50">
        <f t="shared" si="16"/>
        <v>0</v>
      </c>
      <c r="G53" s="50">
        <f t="shared" si="16"/>
        <v>0</v>
      </c>
      <c r="H53" s="50">
        <f t="shared" si="16"/>
        <v>0</v>
      </c>
      <c r="I53" s="50">
        <f t="shared" si="16"/>
        <v>0</v>
      </c>
      <c r="J53" s="50">
        <f t="shared" si="16"/>
        <v>0</v>
      </c>
      <c r="O53" s="19" t="s">
        <v>450</v>
      </c>
      <c r="P53" s="99">
        <f t="shared" ref="P53:X53" si="17">SUM(P47:P52)</f>
        <v>0</v>
      </c>
      <c r="Q53" s="99">
        <f t="shared" si="17"/>
        <v>0</v>
      </c>
      <c r="R53" s="99">
        <f t="shared" si="17"/>
        <v>0</v>
      </c>
      <c r="S53" s="99">
        <f t="shared" si="17"/>
        <v>0</v>
      </c>
      <c r="T53" s="99">
        <f t="shared" si="17"/>
        <v>0</v>
      </c>
      <c r="U53" s="99">
        <f t="shared" si="17"/>
        <v>0</v>
      </c>
      <c r="V53" s="99">
        <f t="shared" si="17"/>
        <v>0</v>
      </c>
      <c r="W53" s="99">
        <f t="shared" si="17"/>
        <v>0</v>
      </c>
      <c r="X53" s="99">
        <f t="shared" si="17"/>
        <v>0</v>
      </c>
      <c r="Y53" s="99">
        <f t="shared" si="14"/>
        <v>0</v>
      </c>
    </row>
    <row r="62" spans="1:25" x14ac:dyDescent="0.3">
      <c r="T62" s="81"/>
    </row>
    <row r="63" spans="1:25" x14ac:dyDescent="0.3">
      <c r="A63" s="82"/>
    </row>
    <row r="64" spans="1:25" x14ac:dyDescent="0.3">
      <c r="A64" s="86"/>
    </row>
    <row r="65" spans="1:1" x14ac:dyDescent="0.3">
      <c r="A65" s="14"/>
    </row>
    <row r="66" spans="1:1" x14ac:dyDescent="0.3">
      <c r="A66" s="13"/>
    </row>
    <row r="67" spans="1:1" x14ac:dyDescent="0.3">
      <c r="A67" s="13"/>
    </row>
  </sheetData>
  <sheetProtection selectLockedCells="1"/>
  <mergeCells count="5">
    <mergeCell ref="A1:K1"/>
    <mergeCell ref="A2:K2"/>
    <mergeCell ref="O20:Y20"/>
    <mergeCell ref="O34:Y34"/>
    <mergeCell ref="O36:V36"/>
  </mergeCells>
  <conditionalFormatting sqref="A1:Y67">
    <cfRule type="expression" dxfId="17" priority="100">
      <formula>ISERROR(A1)</formula>
    </cfRule>
  </conditionalFormatting>
  <conditionalFormatting sqref="B36:I36">
    <cfRule type="cellIs" dxfId="16" priority="1" operator="greaterThan">
      <formula>$B$19</formula>
    </cfRule>
  </conditionalFormatting>
  <conditionalFormatting sqref="K30">
    <cfRule type="cellIs" dxfId="15" priority="2" operator="equal">
      <formula>$B$5</formula>
    </cfRule>
  </conditionalFormatting>
  <dataValidations count="5">
    <dataValidation type="decimal" operator="greaterThanOrEqual" allowBlank="1" showInputMessage="1" showErrorMessage="1" errorTitle="Amount required" error="Enter an amount in EUR, 0 or more." promptTitle="Average project budget (EUR)" prompt="Enter the average EU budget of a project in EUR." sqref="T42" xr:uid="{32DBEB9C-C501-4FAA-A825-CF4CE4509AFE}">
      <formula1>0</formula1>
    </dataValidation>
    <dataValidation type="decimal" operator="greaterThanOrEqual" allowBlank="1" showInputMessage="1" showErrorMessage="1" errorTitle="Number required" error="Enter a number, 0 or more." promptTitle="Number of projects per call" prompt="Enter the number of projects expected per call." sqref="P42:P44 R42:R44" xr:uid="{57FD2353-C160-43AC-B1B6-D57960A8F521}">
      <formula1>0</formula1>
    </dataValidation>
    <dataValidation type="decimal" allowBlank="1" showInputMessage="1" showErrorMessage="1" errorTitle="Percentage required" error="Enter a percentage between 0% and 100%." promptTitle="Spending profile (%)" prompt="Enter the share of the project budget spent in each half year of a regular 36 month project. The six values must add up to 100%." sqref="P38:U38" xr:uid="{AF9B41AE-939C-440B-84BB-19A8138C64AB}">
      <formula1>0</formula1>
      <formula2>1</formula2>
    </dataValidation>
    <dataValidation type="decimal" operator="greaterThanOrEqual" allowBlank="1" showInputMessage="1" showErrorMessage="1" errorTitle="Amount required" error="Enter an amount in EUR, 0 or more." promptTitle="Payments to projects (EUR)" prompt="Enter the payments to projects per call and year in EUR (2028 to 2035 and after closure), for example copied from the mini calculator on the right. They feed the outflows of this sheet." sqref="P24:X29" xr:uid="{04910C78-E067-4FF3-9C39-2C43D44A2226}">
      <formula1>0</formula1>
    </dataValidation>
    <dataValidation allowBlank="1" showInputMessage="1" promptTitle="Call or project group" prompt="Optional. Name of the call or group of projects. The name is shown in the table on the left." sqref="O24:O29" xr:uid="{00000000-0002-0000-0B00-000004000000}"/>
  </dataValidations>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7AA19-2FFD-49B5-9EE4-E1C181F58B8D}">
  <dimension ref="A1:Y67"/>
  <sheetViews>
    <sheetView topLeftCell="A21" zoomScaleNormal="100" workbookViewId="0">
      <selection activeCell="J62" sqref="J62"/>
    </sheetView>
  </sheetViews>
  <sheetFormatPr defaultRowHeight="15.05" x14ac:dyDescent="0.3"/>
  <cols>
    <col min="1" max="1" width="44" customWidth="1"/>
    <col min="2" max="2" width="14.5546875" customWidth="1"/>
    <col min="3" max="3" width="13.5546875" customWidth="1"/>
    <col min="4" max="4" width="13.109375" customWidth="1"/>
    <col min="5" max="5" width="14.88671875" customWidth="1"/>
    <col min="6" max="6" width="14" customWidth="1"/>
    <col min="7" max="7" width="15.109375" customWidth="1"/>
    <col min="8" max="8" width="13.44140625" customWidth="1"/>
    <col min="9" max="9" width="14.44140625" customWidth="1"/>
    <col min="10" max="10" width="14.88671875" customWidth="1"/>
    <col min="11" max="11" width="14.109375" customWidth="1"/>
    <col min="15" max="15" width="19.5546875" bestFit="1" customWidth="1"/>
    <col min="20" max="20" width="14" bestFit="1" customWidth="1"/>
    <col min="25" max="25" width="10.109375" bestFit="1" customWidth="1"/>
    <col min="26" max="26" width="13.5546875" bestFit="1" customWidth="1"/>
    <col min="27" max="27" width="10.109375" bestFit="1" customWidth="1"/>
  </cols>
  <sheetData>
    <row r="1" spans="1:14" ht="18" x14ac:dyDescent="0.3">
      <c r="A1" s="157" t="s">
        <v>403</v>
      </c>
      <c r="B1" s="157"/>
      <c r="C1" s="157"/>
      <c r="D1" s="157"/>
      <c r="E1" s="157"/>
      <c r="F1" s="157"/>
      <c r="G1" s="157"/>
      <c r="H1" s="157"/>
      <c r="I1" s="157"/>
      <c r="J1" s="157"/>
      <c r="K1" s="157"/>
    </row>
    <row r="2" spans="1:14" ht="18" x14ac:dyDescent="0.3">
      <c r="A2" s="157" t="s">
        <v>407</v>
      </c>
      <c r="B2" s="157"/>
      <c r="C2" s="157"/>
      <c r="D2" s="157"/>
      <c r="E2" s="157"/>
      <c r="F2" s="157"/>
      <c r="G2" s="157"/>
      <c r="H2" s="157"/>
      <c r="I2" s="157"/>
      <c r="J2" s="157"/>
      <c r="K2" s="157"/>
    </row>
    <row r="3" spans="1:14" ht="14.4" x14ac:dyDescent="0.3">
      <c r="A3" s="5"/>
    </row>
    <row r="4" spans="1:14" ht="14.4" x14ac:dyDescent="0.3">
      <c r="B4" s="6" t="s">
        <v>408</v>
      </c>
      <c r="C4" s="6" t="s">
        <v>297</v>
      </c>
    </row>
    <row r="5" spans="1:14" ht="14.4" x14ac:dyDescent="0.3">
      <c r="A5" s="6" t="str">
        <f>'pay out values'!B32</f>
        <v>Measure 6</v>
      </c>
      <c r="B5" s="50">
        <f>'pay out values'!D32</f>
        <v>0</v>
      </c>
      <c r="C5" s="102">
        <f>'pay out values'!C32</f>
        <v>0</v>
      </c>
      <c r="K5" s="3"/>
    </row>
    <row r="6" spans="1:14" ht="14.4" x14ac:dyDescent="0.3">
      <c r="C6" s="3"/>
      <c r="D6" s="3"/>
      <c r="E6" s="87"/>
      <c r="F6" s="3"/>
      <c r="K6" s="3"/>
      <c r="N6" s="13"/>
    </row>
    <row r="7" spans="1:14" x14ac:dyDescent="0.3">
      <c r="A7" s="69" t="s">
        <v>368</v>
      </c>
      <c r="B7" s="83" t="s">
        <v>369</v>
      </c>
      <c r="C7" s="84" t="s">
        <v>370</v>
      </c>
      <c r="D7" s="3"/>
      <c r="E7" s="87"/>
      <c r="F7" s="3"/>
      <c r="K7" s="3"/>
      <c r="N7" s="13"/>
    </row>
    <row r="8" spans="1:14" ht="14.4" x14ac:dyDescent="0.3">
      <c r="A8" s="19" t="s">
        <v>371</v>
      </c>
      <c r="B8" s="50">
        <f>$B$5*C8</f>
        <v>0</v>
      </c>
      <c r="C8" s="102">
        <f>'N+1 '!J15</f>
        <v>0.12</v>
      </c>
      <c r="D8" s="3"/>
      <c r="E8" s="87"/>
      <c r="F8" s="3"/>
      <c r="K8" s="3"/>
    </row>
    <row r="9" spans="1:14" ht="14.4" x14ac:dyDescent="0.3">
      <c r="A9" s="19" t="s">
        <v>372</v>
      </c>
      <c r="B9" s="50">
        <f>$B$5*C9</f>
        <v>0</v>
      </c>
      <c r="C9" s="102">
        <f>1-C8</f>
        <v>0.88</v>
      </c>
      <c r="D9" s="3"/>
      <c r="E9" s="87"/>
      <c r="F9" s="3"/>
      <c r="K9" s="3"/>
    </row>
    <row r="10" spans="1:14" x14ac:dyDescent="0.3">
      <c r="A10" s="19" t="s">
        <v>286</v>
      </c>
      <c r="B10" s="50">
        <f>SUM(B8:B9)</f>
        <v>0</v>
      </c>
      <c r="C10" s="102">
        <f>SUM(C8:C9)</f>
        <v>1</v>
      </c>
      <c r="D10" s="3"/>
      <c r="E10" s="87"/>
      <c r="F10" s="3"/>
      <c r="K10" s="3"/>
    </row>
    <row r="11" spans="1:14" ht="14.4" x14ac:dyDescent="0.3">
      <c r="D11" s="3"/>
      <c r="E11" s="87"/>
      <c r="F11" s="3"/>
      <c r="K11" s="3"/>
    </row>
    <row r="12" spans="1:14" x14ac:dyDescent="0.3">
      <c r="A12" s="69" t="s">
        <v>373</v>
      </c>
      <c r="B12" s="83" t="s">
        <v>369</v>
      </c>
      <c r="C12" s="84" t="s">
        <v>370</v>
      </c>
      <c r="D12" s="3"/>
      <c r="E12" s="87"/>
      <c r="F12" s="3"/>
      <c r="K12" s="3"/>
    </row>
    <row r="13" spans="1:14" ht="14.4" x14ac:dyDescent="0.3">
      <c r="A13" s="19" t="s">
        <v>371</v>
      </c>
      <c r="B13" s="50">
        <f>$B$5*C13</f>
        <v>0</v>
      </c>
      <c r="C13" s="102">
        <f>C8</f>
        <v>0.12</v>
      </c>
      <c r="D13" s="3"/>
      <c r="E13" s="87"/>
      <c r="F13" s="3"/>
      <c r="K13" s="3"/>
    </row>
    <row r="14" spans="1:14" ht="14.4" x14ac:dyDescent="0.3">
      <c r="A14" s="19" t="s">
        <v>372</v>
      </c>
      <c r="B14" s="50">
        <f>$B$5*C14</f>
        <v>0</v>
      </c>
      <c r="C14" s="102">
        <f>C19-C8</f>
        <v>0.83</v>
      </c>
      <c r="D14" s="3"/>
      <c r="E14" s="87"/>
      <c r="F14" s="3"/>
      <c r="K14" s="3"/>
    </row>
    <row r="15" spans="1:14" ht="14.4" x14ac:dyDescent="0.3">
      <c r="A15" s="19" t="s">
        <v>375</v>
      </c>
      <c r="B15" s="50">
        <f>$B$5*C15</f>
        <v>0</v>
      </c>
      <c r="C15" s="102">
        <f>1-C19</f>
        <v>5.0000000000000044E-2</v>
      </c>
      <c r="D15" s="3"/>
      <c r="E15" s="87"/>
      <c r="K15" s="3"/>
      <c r="M15" s="3"/>
    </row>
    <row r="16" spans="1:14" x14ac:dyDescent="0.3">
      <c r="A16" s="19" t="s">
        <v>286</v>
      </c>
      <c r="B16" s="50">
        <f>SUM(B13:B15)</f>
        <v>0</v>
      </c>
      <c r="C16" s="102">
        <f>SUM(C13:C15)</f>
        <v>1</v>
      </c>
      <c r="D16" s="3"/>
      <c r="E16" s="87"/>
      <c r="F16" s="3"/>
      <c r="K16" s="3"/>
    </row>
    <row r="17" spans="1:25" ht="14.4" x14ac:dyDescent="0.3">
      <c r="E17" s="87"/>
      <c r="F17" s="3"/>
      <c r="K17" s="3"/>
      <c r="N17" s="13"/>
    </row>
    <row r="18" spans="1:25" x14ac:dyDescent="0.3">
      <c r="A18" s="83" t="s">
        <v>376</v>
      </c>
      <c r="B18" s="83" t="s">
        <v>369</v>
      </c>
      <c r="C18" s="84" t="s">
        <v>370</v>
      </c>
      <c r="D18" s="70" t="s">
        <v>377</v>
      </c>
      <c r="E18" s="87"/>
      <c r="F18" s="3"/>
      <c r="K18" s="3"/>
      <c r="N18" s="13"/>
    </row>
    <row r="19" spans="1:25" ht="14.4" x14ac:dyDescent="0.3">
      <c r="A19" s="19" t="str">
        <f>"Payment ceiling at "&amp;TEXT(C19,"0%")</f>
        <v>Payment ceiling at 95%</v>
      </c>
      <c r="B19" s="50">
        <f>B5*C19</f>
        <v>0</v>
      </c>
      <c r="C19" s="103">
        <f>Inflows!C22</f>
        <v>0.95</v>
      </c>
      <c r="D19" s="50">
        <f>B5-B19</f>
        <v>0</v>
      </c>
      <c r="E19" s="87"/>
      <c r="F19" s="3"/>
      <c r="K19" s="3"/>
      <c r="N19" s="13"/>
    </row>
    <row r="20" spans="1:25" ht="18" x14ac:dyDescent="0.3">
      <c r="A20" s="19" t="s">
        <v>379</v>
      </c>
      <c r="B20" s="98"/>
      <c r="C20" s="103">
        <f>C8</f>
        <v>0.12</v>
      </c>
      <c r="D20" s="50">
        <f>B8</f>
        <v>0</v>
      </c>
      <c r="E20" s="87"/>
      <c r="K20" s="3"/>
      <c r="N20" s="13"/>
      <c r="O20" s="157" t="s">
        <v>409</v>
      </c>
      <c r="P20" s="157"/>
      <c r="Q20" s="157"/>
      <c r="R20" s="157"/>
      <c r="S20" s="157"/>
      <c r="T20" s="157"/>
      <c r="U20" s="157"/>
      <c r="V20" s="157"/>
      <c r="W20" s="157"/>
      <c r="X20" s="157"/>
      <c r="Y20" s="157"/>
    </row>
    <row r="21" spans="1:25" ht="14.4" x14ac:dyDescent="0.3">
      <c r="A21" s="19" t="s">
        <v>380</v>
      </c>
      <c r="B21" s="50">
        <f>B14</f>
        <v>0</v>
      </c>
      <c r="C21" s="103">
        <f>C19-C20</f>
        <v>0.83</v>
      </c>
      <c r="D21" s="50">
        <f>SUM(D19:D20)</f>
        <v>0</v>
      </c>
      <c r="E21" s="87"/>
      <c r="F21" s="3"/>
      <c r="K21" s="3"/>
      <c r="N21" s="13"/>
    </row>
    <row r="22" spans="1:25" ht="14.4" x14ac:dyDescent="0.3">
      <c r="K22" s="3"/>
      <c r="M22" s="3"/>
      <c r="O22" t="s">
        <v>410</v>
      </c>
    </row>
    <row r="23" spans="1:25" ht="14.4" x14ac:dyDescent="0.3">
      <c r="A23" s="83" t="s">
        <v>411</v>
      </c>
      <c r="B23" s="70">
        <v>2028</v>
      </c>
      <c r="C23" s="70">
        <v>2029</v>
      </c>
      <c r="D23" s="70">
        <v>2030</v>
      </c>
      <c r="E23" s="70">
        <v>2031</v>
      </c>
      <c r="F23" s="70">
        <v>2032</v>
      </c>
      <c r="G23" s="70">
        <v>2033</v>
      </c>
      <c r="H23" s="70">
        <v>2034</v>
      </c>
      <c r="I23" s="70">
        <v>2035</v>
      </c>
      <c r="J23" s="70" t="s">
        <v>362</v>
      </c>
      <c r="K23" s="70" t="s">
        <v>319</v>
      </c>
      <c r="O23" s="83" t="s">
        <v>409</v>
      </c>
      <c r="P23" s="70">
        <v>2028</v>
      </c>
      <c r="Q23" s="70">
        <v>2029</v>
      </c>
      <c r="R23" s="70">
        <v>2030</v>
      </c>
      <c r="S23" s="70">
        <v>2031</v>
      </c>
      <c r="T23" s="70">
        <v>2032</v>
      </c>
      <c r="U23" s="70">
        <v>2033</v>
      </c>
      <c r="V23" s="70">
        <v>2034</v>
      </c>
      <c r="W23" s="70">
        <v>2035</v>
      </c>
      <c r="X23" s="70" t="s">
        <v>362</v>
      </c>
      <c r="Y23" s="70" t="s">
        <v>319</v>
      </c>
    </row>
    <row r="24" spans="1:25" ht="14.4" x14ac:dyDescent="0.3">
      <c r="A24" s="19" t="str">
        <f t="shared" ref="A24:J29" si="0">O24</f>
        <v>Call 1 projects</v>
      </c>
      <c r="B24" s="50">
        <f t="shared" si="0"/>
        <v>0</v>
      </c>
      <c r="C24" s="50">
        <f t="shared" si="0"/>
        <v>0</v>
      </c>
      <c r="D24" s="50">
        <f t="shared" si="0"/>
        <v>0</v>
      </c>
      <c r="E24" s="50">
        <f t="shared" si="0"/>
        <v>0</v>
      </c>
      <c r="F24" s="50">
        <f t="shared" si="0"/>
        <v>0</v>
      </c>
      <c r="G24" s="50">
        <f t="shared" si="0"/>
        <v>0</v>
      </c>
      <c r="H24" s="50">
        <f t="shared" si="0"/>
        <v>0</v>
      </c>
      <c r="I24" s="50">
        <f t="shared" si="0"/>
        <v>0</v>
      </c>
      <c r="J24" s="50">
        <f t="shared" si="0"/>
        <v>0</v>
      </c>
      <c r="K24" s="64">
        <f t="shared" ref="K24:K30" si="1">SUM(B24:J24)</f>
        <v>0</v>
      </c>
      <c r="O24" s="109" t="s">
        <v>412</v>
      </c>
      <c r="P24" s="110"/>
      <c r="Q24" s="110"/>
      <c r="R24" s="110"/>
      <c r="S24" s="110"/>
      <c r="T24" s="110"/>
      <c r="U24" s="110"/>
      <c r="V24" s="110"/>
      <c r="W24" s="110"/>
      <c r="X24" s="110"/>
      <c r="Y24" s="99">
        <f t="shared" ref="Y24:Y30" si="2">SUM(P24:X24)</f>
        <v>0</v>
      </c>
    </row>
    <row r="25" spans="1:25" ht="14.4" x14ac:dyDescent="0.3">
      <c r="A25" s="19" t="str">
        <f t="shared" si="0"/>
        <v>Call 2 projects</v>
      </c>
      <c r="B25" s="50">
        <f t="shared" si="0"/>
        <v>0</v>
      </c>
      <c r="C25" s="50">
        <f t="shared" si="0"/>
        <v>0</v>
      </c>
      <c r="D25" s="50">
        <f t="shared" si="0"/>
        <v>0</v>
      </c>
      <c r="E25" s="50">
        <f t="shared" si="0"/>
        <v>0</v>
      </c>
      <c r="F25" s="50">
        <f t="shared" si="0"/>
        <v>0</v>
      </c>
      <c r="G25" s="50">
        <f t="shared" si="0"/>
        <v>0</v>
      </c>
      <c r="H25" s="50">
        <f t="shared" si="0"/>
        <v>0</v>
      </c>
      <c r="I25" s="50">
        <f t="shared" si="0"/>
        <v>0</v>
      </c>
      <c r="J25" s="50">
        <f t="shared" si="0"/>
        <v>0</v>
      </c>
      <c r="K25" s="64">
        <f t="shared" si="1"/>
        <v>0</v>
      </c>
      <c r="O25" s="109" t="s">
        <v>413</v>
      </c>
      <c r="P25" s="110"/>
      <c r="Q25" s="110"/>
      <c r="R25" s="110"/>
      <c r="S25" s="110"/>
      <c r="T25" s="110"/>
      <c r="U25" s="110"/>
      <c r="V25" s="110"/>
      <c r="W25" s="110"/>
      <c r="X25" s="110"/>
      <c r="Y25" s="99">
        <f t="shared" si="2"/>
        <v>0</v>
      </c>
    </row>
    <row r="26" spans="1:25" ht="14.4" x14ac:dyDescent="0.3">
      <c r="A26" s="19" t="str">
        <f t="shared" si="0"/>
        <v>Call 3 projects</v>
      </c>
      <c r="B26" s="50">
        <f t="shared" si="0"/>
        <v>0</v>
      </c>
      <c r="C26" s="50">
        <f t="shared" si="0"/>
        <v>0</v>
      </c>
      <c r="D26" s="50">
        <f t="shared" si="0"/>
        <v>0</v>
      </c>
      <c r="E26" s="50">
        <f t="shared" si="0"/>
        <v>0</v>
      </c>
      <c r="F26" s="50">
        <f t="shared" si="0"/>
        <v>0</v>
      </c>
      <c r="G26" s="50">
        <f t="shared" si="0"/>
        <v>0</v>
      </c>
      <c r="H26" s="50">
        <f t="shared" si="0"/>
        <v>0</v>
      </c>
      <c r="I26" s="50">
        <f t="shared" si="0"/>
        <v>0</v>
      </c>
      <c r="J26" s="50">
        <f t="shared" si="0"/>
        <v>0</v>
      </c>
      <c r="K26" s="64">
        <f t="shared" si="1"/>
        <v>0</v>
      </c>
      <c r="O26" s="109" t="s">
        <v>414</v>
      </c>
      <c r="P26" s="110"/>
      <c r="Q26" s="110"/>
      <c r="R26" s="110"/>
      <c r="S26" s="110"/>
      <c r="T26" s="110"/>
      <c r="U26" s="110"/>
      <c r="V26" s="110"/>
      <c r="W26" s="110"/>
      <c r="X26" s="110"/>
      <c r="Y26" s="99">
        <f t="shared" si="2"/>
        <v>0</v>
      </c>
    </row>
    <row r="27" spans="1:25" ht="14.4" x14ac:dyDescent="0.3">
      <c r="A27" s="19" t="str">
        <f t="shared" si="0"/>
        <v>Call 4  projects</v>
      </c>
      <c r="B27" s="50">
        <f t="shared" si="0"/>
        <v>0</v>
      </c>
      <c r="C27" s="50">
        <f t="shared" si="0"/>
        <v>0</v>
      </c>
      <c r="D27" s="50">
        <f t="shared" si="0"/>
        <v>0</v>
      </c>
      <c r="E27" s="50">
        <f t="shared" si="0"/>
        <v>0</v>
      </c>
      <c r="F27" s="50">
        <f t="shared" si="0"/>
        <v>0</v>
      </c>
      <c r="G27" s="50">
        <f t="shared" si="0"/>
        <v>0</v>
      </c>
      <c r="H27" s="50">
        <f t="shared" si="0"/>
        <v>0</v>
      </c>
      <c r="I27" s="50">
        <f t="shared" si="0"/>
        <v>0</v>
      </c>
      <c r="J27" s="50">
        <f t="shared" si="0"/>
        <v>0</v>
      </c>
      <c r="K27" s="64">
        <f t="shared" si="1"/>
        <v>0</v>
      </c>
      <c r="O27" s="109" t="s">
        <v>415</v>
      </c>
      <c r="P27" s="110"/>
      <c r="Q27" s="110"/>
      <c r="R27" s="110"/>
      <c r="S27" s="110"/>
      <c r="T27" s="110"/>
      <c r="U27" s="110"/>
      <c r="V27" s="110"/>
      <c r="W27" s="110"/>
      <c r="X27" s="110"/>
      <c r="Y27" s="99">
        <f t="shared" si="2"/>
        <v>0</v>
      </c>
    </row>
    <row r="28" spans="1:25" ht="14.4" x14ac:dyDescent="0.3">
      <c r="A28" s="19" t="str">
        <f t="shared" si="0"/>
        <v>Call 5  projects</v>
      </c>
      <c r="B28" s="50">
        <f t="shared" si="0"/>
        <v>0</v>
      </c>
      <c r="C28" s="50">
        <f t="shared" si="0"/>
        <v>0</v>
      </c>
      <c r="D28" s="50">
        <f t="shared" si="0"/>
        <v>0</v>
      </c>
      <c r="E28" s="50">
        <f t="shared" si="0"/>
        <v>0</v>
      </c>
      <c r="F28" s="50">
        <f t="shared" si="0"/>
        <v>0</v>
      </c>
      <c r="G28" s="50">
        <f t="shared" si="0"/>
        <v>0</v>
      </c>
      <c r="H28" s="50">
        <f t="shared" si="0"/>
        <v>0</v>
      </c>
      <c r="I28" s="50">
        <f t="shared" si="0"/>
        <v>0</v>
      </c>
      <c r="J28" s="50">
        <f t="shared" si="0"/>
        <v>0</v>
      </c>
      <c r="K28" s="64">
        <f t="shared" si="1"/>
        <v>0</v>
      </c>
      <c r="O28" s="109" t="s">
        <v>416</v>
      </c>
      <c r="P28" s="110"/>
      <c r="Q28" s="110"/>
      <c r="R28" s="110"/>
      <c r="S28" s="110"/>
      <c r="T28" s="110"/>
      <c r="U28" s="110"/>
      <c r="V28" s="110"/>
      <c r="W28" s="110"/>
      <c r="X28" s="110"/>
      <c r="Y28" s="99">
        <f t="shared" si="2"/>
        <v>0</v>
      </c>
    </row>
    <row r="29" spans="1:25" ht="14.4" x14ac:dyDescent="0.3">
      <c r="A29" s="19" t="str">
        <f t="shared" si="0"/>
        <v>Call 6 projects</v>
      </c>
      <c r="B29" s="50">
        <f t="shared" si="0"/>
        <v>0</v>
      </c>
      <c r="C29" s="50">
        <f t="shared" si="0"/>
        <v>0</v>
      </c>
      <c r="D29" s="50">
        <f t="shared" si="0"/>
        <v>0</v>
      </c>
      <c r="E29" s="50">
        <f t="shared" si="0"/>
        <v>0</v>
      </c>
      <c r="F29" s="50">
        <f t="shared" si="0"/>
        <v>0</v>
      </c>
      <c r="G29" s="50">
        <f t="shared" si="0"/>
        <v>0</v>
      </c>
      <c r="H29" s="50">
        <f t="shared" si="0"/>
        <v>0</v>
      </c>
      <c r="I29" s="50">
        <f t="shared" si="0"/>
        <v>0</v>
      </c>
      <c r="J29" s="50">
        <f t="shared" si="0"/>
        <v>0</v>
      </c>
      <c r="K29" s="64">
        <f t="shared" si="1"/>
        <v>0</v>
      </c>
      <c r="O29" s="109" t="s">
        <v>417</v>
      </c>
      <c r="P29" s="110"/>
      <c r="Q29" s="110"/>
      <c r="R29" s="110"/>
      <c r="S29" s="110"/>
      <c r="T29" s="110"/>
      <c r="U29" s="110"/>
      <c r="V29" s="110"/>
      <c r="W29" s="110"/>
      <c r="X29" s="110"/>
      <c r="Y29" s="99">
        <f t="shared" si="2"/>
        <v>0</v>
      </c>
    </row>
    <row r="30" spans="1:25" ht="14.4" x14ac:dyDescent="0.3">
      <c r="A30" s="19" t="s">
        <v>451</v>
      </c>
      <c r="B30" s="50">
        <f t="shared" ref="B30:J30" si="3">SUM(B24:B29)</f>
        <v>0</v>
      </c>
      <c r="C30" s="64">
        <f t="shared" si="3"/>
        <v>0</v>
      </c>
      <c r="D30" s="64">
        <f t="shared" si="3"/>
        <v>0</v>
      </c>
      <c r="E30" s="64">
        <f t="shared" si="3"/>
        <v>0</v>
      </c>
      <c r="F30" s="64">
        <f t="shared" si="3"/>
        <v>0</v>
      </c>
      <c r="G30" s="64">
        <f t="shared" si="3"/>
        <v>0</v>
      </c>
      <c r="H30" s="64">
        <f t="shared" si="3"/>
        <v>0</v>
      </c>
      <c r="I30" s="64">
        <f t="shared" si="3"/>
        <v>0</v>
      </c>
      <c r="J30" s="64">
        <f t="shared" si="3"/>
        <v>0</v>
      </c>
      <c r="K30" s="64">
        <f t="shared" si="1"/>
        <v>0</v>
      </c>
      <c r="O30" s="19" t="s">
        <v>451</v>
      </c>
      <c r="P30" s="99">
        <f t="shared" ref="P30:X30" si="4">SUM(P24:P29)</f>
        <v>0</v>
      </c>
      <c r="Q30" s="99">
        <f t="shared" si="4"/>
        <v>0</v>
      </c>
      <c r="R30" s="99">
        <f t="shared" si="4"/>
        <v>0</v>
      </c>
      <c r="S30" s="99">
        <f t="shared" si="4"/>
        <v>0</v>
      </c>
      <c r="T30" s="99">
        <f t="shared" si="4"/>
        <v>0</v>
      </c>
      <c r="U30" s="99">
        <f t="shared" si="4"/>
        <v>0</v>
      </c>
      <c r="V30" s="99">
        <f t="shared" si="4"/>
        <v>0</v>
      </c>
      <c r="W30" s="99">
        <f t="shared" si="4"/>
        <v>0</v>
      </c>
      <c r="X30" s="99">
        <f t="shared" si="4"/>
        <v>0</v>
      </c>
      <c r="Y30" s="99">
        <f t="shared" si="2"/>
        <v>0</v>
      </c>
    </row>
    <row r="32" spans="1:25" ht="14.4" x14ac:dyDescent="0.3">
      <c r="A32" s="83" t="s">
        <v>419</v>
      </c>
      <c r="B32" s="70">
        <v>2028</v>
      </c>
      <c r="C32" s="70">
        <v>2029</v>
      </c>
      <c r="D32" s="70">
        <v>2030</v>
      </c>
      <c r="E32" s="70">
        <v>2031</v>
      </c>
      <c r="F32" s="70">
        <v>2032</v>
      </c>
      <c r="G32" s="70">
        <v>2033</v>
      </c>
      <c r="H32" s="70">
        <v>2034</v>
      </c>
      <c r="I32" s="70">
        <v>2035</v>
      </c>
      <c r="J32" s="70" t="s">
        <v>362</v>
      </c>
      <c r="K32" s="70" t="s">
        <v>319</v>
      </c>
      <c r="L32" s="11"/>
    </row>
    <row r="33" spans="1:25" ht="14.4" x14ac:dyDescent="0.3">
      <c r="A33" s="19" t="s">
        <v>420</v>
      </c>
      <c r="B33" s="50">
        <f>IF(Inflows!$J$7=0,0,Inflows!B28/Inflows!$J$7*$B$5)</f>
        <v>0</v>
      </c>
      <c r="C33" s="50">
        <f>IF(Inflows!$J$7=0,0,Inflows!C28/Inflows!$J$7*$B$5)</f>
        <v>0</v>
      </c>
      <c r="D33" s="50">
        <f>IF(Inflows!$J$7=0,0,Inflows!D28/Inflows!$J$7*$B$5)</f>
        <v>0</v>
      </c>
      <c r="E33" s="50">
        <f>IF(Inflows!$J$7=0,0,Inflows!E28/Inflows!$J$7*$B$5)</f>
        <v>0</v>
      </c>
      <c r="F33" s="50">
        <f>IF(Inflows!$J$7=0,0,Inflows!F28/Inflows!$J$7*$B$5)</f>
        <v>0</v>
      </c>
      <c r="G33" s="50">
        <f>IF(Inflows!$J$7=0,0,Inflows!G28/Inflows!$J$7*$B$5)</f>
        <v>0</v>
      </c>
      <c r="H33" s="50">
        <f>IF(Inflows!$J$7=0,0,Inflows!H28/Inflows!$J$7*$B$5)</f>
        <v>0</v>
      </c>
      <c r="I33" s="50">
        <f>IF(Inflows!$J$7=0,0,Inflows!I28/Inflows!$J$7*$B$5)</f>
        <v>0</v>
      </c>
      <c r="J33" s="88"/>
      <c r="K33" s="64">
        <f>SUM(B33:J33)</f>
        <v>0</v>
      </c>
      <c r="L33" s="1"/>
    </row>
    <row r="34" spans="1:25" ht="18" x14ac:dyDescent="0.3">
      <c r="A34" s="19" t="s">
        <v>383</v>
      </c>
      <c r="B34" s="50">
        <f>'pay out values'!P134</f>
        <v>0</v>
      </c>
      <c r="C34" s="50">
        <f>'pay out values'!Q134</f>
        <v>0</v>
      </c>
      <c r="D34" s="50">
        <f>'pay out values'!R134</f>
        <v>0</v>
      </c>
      <c r="E34" s="50">
        <f>'pay out values'!S134</f>
        <v>0</v>
      </c>
      <c r="F34" s="50">
        <f>'pay out values'!T134</f>
        <v>0</v>
      </c>
      <c r="G34" s="50">
        <f>'pay out values'!U134</f>
        <v>0</v>
      </c>
      <c r="H34" s="50">
        <f>'pay out values'!V134</f>
        <v>0</v>
      </c>
      <c r="I34" s="50">
        <f>'pay out values'!W134</f>
        <v>0</v>
      </c>
      <c r="J34" s="88"/>
      <c r="K34" s="64">
        <f>SUM(B34:J34)</f>
        <v>0</v>
      </c>
      <c r="O34" s="157" t="s">
        <v>421</v>
      </c>
      <c r="P34" s="157"/>
      <c r="Q34" s="157"/>
      <c r="R34" s="157"/>
      <c r="S34" s="157"/>
      <c r="T34" s="157"/>
      <c r="U34" s="157"/>
      <c r="V34" s="157"/>
      <c r="W34" s="157"/>
      <c r="X34" s="157"/>
      <c r="Y34" s="157"/>
    </row>
    <row r="35" spans="1:25" ht="14.4" x14ac:dyDescent="0.3">
      <c r="A35" s="19" t="s">
        <v>384</v>
      </c>
      <c r="B35" s="50">
        <f>B34</f>
        <v>0</v>
      </c>
      <c r="C35" s="50">
        <f t="shared" ref="C35:I35" si="5">B35+C34</f>
        <v>0</v>
      </c>
      <c r="D35" s="50">
        <f t="shared" si="5"/>
        <v>0</v>
      </c>
      <c r="E35" s="50">
        <f t="shared" si="5"/>
        <v>0</v>
      </c>
      <c r="F35" s="50">
        <f t="shared" si="5"/>
        <v>0</v>
      </c>
      <c r="G35" s="50">
        <f t="shared" si="5"/>
        <v>0</v>
      </c>
      <c r="H35" s="50">
        <f t="shared" si="5"/>
        <v>0</v>
      </c>
      <c r="I35" s="50">
        <f t="shared" si="5"/>
        <v>0</v>
      </c>
      <c r="J35" s="88"/>
      <c r="K35" s="107"/>
    </row>
    <row r="36" spans="1:25" ht="14.4" x14ac:dyDescent="0.3">
      <c r="A36" s="19" t="s">
        <v>385</v>
      </c>
      <c r="B36" s="50">
        <f>B35+SUM($B33:B33)</f>
        <v>0</v>
      </c>
      <c r="C36" s="50">
        <f>C35+SUM($B33:C33)</f>
        <v>0</v>
      </c>
      <c r="D36" s="50">
        <f>D35+SUM($B33:D33)</f>
        <v>0</v>
      </c>
      <c r="E36" s="50">
        <f>E35+SUM($B33:E33)</f>
        <v>0</v>
      </c>
      <c r="F36" s="50">
        <f>F35+SUM($B33:F33)</f>
        <v>0</v>
      </c>
      <c r="G36" s="50">
        <f>G35+SUM($B33:G33)</f>
        <v>0</v>
      </c>
      <c r="H36" s="50">
        <f>H35+SUM($B33:H33)</f>
        <v>0</v>
      </c>
      <c r="I36" s="50">
        <f>I35+SUM($B33:I33)</f>
        <v>0</v>
      </c>
      <c r="J36" s="88"/>
      <c r="K36" s="107"/>
      <c r="O36" s="177" t="s">
        <v>422</v>
      </c>
      <c r="P36" s="178"/>
      <c r="Q36" s="178"/>
      <c r="R36" s="178"/>
      <c r="S36" s="178"/>
      <c r="T36" s="178"/>
      <c r="U36" s="178"/>
      <c r="V36" s="178"/>
    </row>
    <row r="37" spans="1:25" ht="14.4" x14ac:dyDescent="0.3">
      <c r="A37" s="19" t="str">
        <f>"amount above "&amp;TEXT($C$19,"0%")&amp;" ceiling"</f>
        <v>amount above 95% ceiling</v>
      </c>
      <c r="B37" s="50">
        <f t="shared" ref="B37:I37" si="6">IF(B36&gt;$B$19, B36-$B$19, 0)</f>
        <v>0</v>
      </c>
      <c r="C37" s="50">
        <f t="shared" si="6"/>
        <v>0</v>
      </c>
      <c r="D37" s="50">
        <f t="shared" si="6"/>
        <v>0</v>
      </c>
      <c r="E37" s="50">
        <f t="shared" si="6"/>
        <v>0</v>
      </c>
      <c r="F37" s="50">
        <f t="shared" si="6"/>
        <v>0</v>
      </c>
      <c r="G37" s="50">
        <f t="shared" si="6"/>
        <v>0</v>
      </c>
      <c r="H37" s="50">
        <f t="shared" si="6"/>
        <v>0</v>
      </c>
      <c r="I37" s="50">
        <f t="shared" si="6"/>
        <v>0</v>
      </c>
      <c r="J37" s="88"/>
      <c r="K37" s="107"/>
      <c r="O37" s="83" t="s">
        <v>423</v>
      </c>
      <c r="P37" s="70" t="s">
        <v>424</v>
      </c>
      <c r="Q37" s="70" t="s">
        <v>425</v>
      </c>
      <c r="R37" s="70" t="s">
        <v>426</v>
      </c>
      <c r="S37" s="70" t="s">
        <v>427</v>
      </c>
      <c r="T37" s="70" t="s">
        <v>428</v>
      </c>
      <c r="U37" s="70" t="s">
        <v>429</v>
      </c>
      <c r="V37" s="70" t="s">
        <v>319</v>
      </c>
    </row>
    <row r="38" spans="1:25" ht="14.4" x14ac:dyDescent="0.3">
      <c r="A38" s="19" t="str">
        <f>"clearance of pre-financing AND impact of "&amp;TEXT($C$19,"0%")&amp;" ceiling"</f>
        <v>clearance of pre-financing AND impact of 95% ceiling</v>
      </c>
      <c r="B38" s="50">
        <f>MIN(B36,$B$19)-B33-B34</f>
        <v>0</v>
      </c>
      <c r="C38" s="50">
        <f t="shared" ref="C38:I38" si="7">MIN(C36,$B$19)-MIN(B36,$B$19)-C33-C34</f>
        <v>0</v>
      </c>
      <c r="D38" s="50">
        <f t="shared" si="7"/>
        <v>0</v>
      </c>
      <c r="E38" s="50">
        <f t="shared" si="7"/>
        <v>0</v>
      </c>
      <c r="F38" s="50">
        <f t="shared" si="7"/>
        <v>0</v>
      </c>
      <c r="G38" s="50">
        <f t="shared" si="7"/>
        <v>0</v>
      </c>
      <c r="H38" s="50">
        <f t="shared" si="7"/>
        <v>0</v>
      </c>
      <c r="I38" s="50">
        <f t="shared" si="7"/>
        <v>0</v>
      </c>
      <c r="J38" s="88"/>
      <c r="K38" s="64">
        <f>SUM(B38:J38)</f>
        <v>0</v>
      </c>
      <c r="O38" s="83" t="s">
        <v>430</v>
      </c>
      <c r="P38" s="111">
        <v>0.05</v>
      </c>
      <c r="Q38" s="111">
        <v>0.15</v>
      </c>
      <c r="R38" s="111">
        <v>0.35</v>
      </c>
      <c r="S38" s="111">
        <v>0.25</v>
      </c>
      <c r="T38" s="111">
        <v>0.15</v>
      </c>
      <c r="U38" s="111">
        <v>0.05</v>
      </c>
      <c r="V38" s="100">
        <f>SUM(P38:U38)</f>
        <v>1</v>
      </c>
    </row>
    <row r="39" spans="1:25" x14ac:dyDescent="0.3">
      <c r="A39" s="19" t="str">
        <f>TEXT(1-$C$19,"0%")&amp;" paid after programme closure"</f>
        <v>5% paid after programme closure</v>
      </c>
      <c r="B39" s="89"/>
      <c r="C39" s="90"/>
      <c r="D39" s="90"/>
      <c r="E39" s="90"/>
      <c r="F39" s="90"/>
      <c r="G39" s="90"/>
      <c r="H39" s="90"/>
      <c r="I39" s="91"/>
      <c r="J39" s="50">
        <f>B15</f>
        <v>0</v>
      </c>
      <c r="K39" s="64">
        <f>SUM(B39:J39)</f>
        <v>0</v>
      </c>
      <c r="O39" s="83" t="s">
        <v>431</v>
      </c>
      <c r="P39" s="95">
        <f t="shared" ref="P39:U39" si="8">P38*$T$42</f>
        <v>0</v>
      </c>
      <c r="Q39" s="95">
        <f t="shared" si="8"/>
        <v>0</v>
      </c>
      <c r="R39" s="95">
        <f t="shared" si="8"/>
        <v>0</v>
      </c>
      <c r="S39" s="95">
        <f t="shared" si="8"/>
        <v>0</v>
      </c>
      <c r="T39" s="95">
        <f t="shared" si="8"/>
        <v>0</v>
      </c>
      <c r="U39" s="95">
        <f t="shared" si="8"/>
        <v>0</v>
      </c>
      <c r="V39" s="95">
        <f>SUM(P39:U39)</f>
        <v>0</v>
      </c>
    </row>
    <row r="40" spans="1:25" ht="14.4" x14ac:dyDescent="0.3">
      <c r="A40" s="19" t="s">
        <v>386</v>
      </c>
      <c r="B40" s="64">
        <f t="shared" ref="B40:J40" si="9">B34+B38+B39</f>
        <v>0</v>
      </c>
      <c r="C40" s="64">
        <f t="shared" si="9"/>
        <v>0</v>
      </c>
      <c r="D40" s="64">
        <f t="shared" si="9"/>
        <v>0</v>
      </c>
      <c r="E40" s="64">
        <f t="shared" si="9"/>
        <v>0</v>
      </c>
      <c r="F40" s="64">
        <f t="shared" si="9"/>
        <v>0</v>
      </c>
      <c r="G40" s="64">
        <f t="shared" si="9"/>
        <v>0</v>
      </c>
      <c r="H40" s="64">
        <f t="shared" si="9"/>
        <v>0</v>
      </c>
      <c r="I40" s="64">
        <f t="shared" si="9"/>
        <v>0</v>
      </c>
      <c r="J40" s="64">
        <f t="shared" si="9"/>
        <v>0</v>
      </c>
      <c r="K40" s="64">
        <f>SUM(B40:J40)</f>
        <v>0</v>
      </c>
      <c r="L40" s="1"/>
    </row>
    <row r="41" spans="1:25" ht="14.4" x14ac:dyDescent="0.3">
      <c r="A41" s="19" t="s">
        <v>387</v>
      </c>
      <c r="B41" s="93">
        <f t="shared" ref="B41:I41" si="10">IF(B34=0,0,B40/B34)</f>
        <v>0</v>
      </c>
      <c r="C41" s="93">
        <f t="shared" si="10"/>
        <v>0</v>
      </c>
      <c r="D41" s="93">
        <f t="shared" si="10"/>
        <v>0</v>
      </c>
      <c r="E41" s="93">
        <f t="shared" si="10"/>
        <v>0</v>
      </c>
      <c r="F41" s="93">
        <f t="shared" si="10"/>
        <v>0</v>
      </c>
      <c r="G41" s="93">
        <f t="shared" si="10"/>
        <v>0</v>
      </c>
      <c r="H41" s="93">
        <f t="shared" si="10"/>
        <v>0</v>
      </c>
      <c r="I41" s="93">
        <f t="shared" si="10"/>
        <v>0</v>
      </c>
      <c r="J41" s="98"/>
      <c r="K41" s="98"/>
      <c r="L41" s="1"/>
      <c r="P41" s="13" t="s">
        <v>432</v>
      </c>
      <c r="T41" t="s">
        <v>433</v>
      </c>
    </row>
    <row r="42" spans="1:25" ht="14.4" x14ac:dyDescent="0.3">
      <c r="A42" s="106" t="s">
        <v>434</v>
      </c>
      <c r="O42" s="112" t="s">
        <v>435</v>
      </c>
      <c r="P42" s="113"/>
      <c r="Q42" s="112" t="s">
        <v>436</v>
      </c>
      <c r="R42" s="113"/>
      <c r="S42" s="114"/>
      <c r="T42" s="110"/>
    </row>
    <row r="43" spans="1:25" ht="14.4" x14ac:dyDescent="0.3">
      <c r="O43" s="112" t="s">
        <v>437</v>
      </c>
      <c r="P43" s="113"/>
      <c r="Q43" s="112" t="s">
        <v>438</v>
      </c>
      <c r="R43" s="113"/>
      <c r="S43" s="114"/>
      <c r="T43" s="114"/>
    </row>
    <row r="44" spans="1:25" ht="14.4" x14ac:dyDescent="0.3">
      <c r="A44" s="83" t="s">
        <v>404</v>
      </c>
      <c r="B44" s="70">
        <v>2028</v>
      </c>
      <c r="C44" s="70">
        <v>2029</v>
      </c>
      <c r="D44" s="70">
        <v>2030</v>
      </c>
      <c r="E44" s="70">
        <v>2031</v>
      </c>
      <c r="F44" s="70">
        <v>2032</v>
      </c>
      <c r="G44" s="70">
        <v>2033</v>
      </c>
      <c r="H44" s="70">
        <v>2034</v>
      </c>
      <c r="I44" s="70">
        <v>2035</v>
      </c>
      <c r="J44" s="70" t="s">
        <v>362</v>
      </c>
      <c r="K44" s="70" t="s">
        <v>319</v>
      </c>
      <c r="O44" s="112" t="s">
        <v>439</v>
      </c>
      <c r="P44" s="113"/>
      <c r="Q44" s="112" t="s">
        <v>440</v>
      </c>
      <c r="R44" s="113"/>
      <c r="S44" s="114"/>
      <c r="T44" s="114" t="s">
        <v>441</v>
      </c>
    </row>
    <row r="45" spans="1:25" ht="14.4" x14ac:dyDescent="0.3">
      <c r="A45" s="19" t="s">
        <v>442</v>
      </c>
      <c r="B45" s="50">
        <f t="shared" ref="B45:J45" si="11">B33+B40</f>
        <v>0</v>
      </c>
      <c r="C45" s="50">
        <f t="shared" si="11"/>
        <v>0</v>
      </c>
      <c r="D45" s="50">
        <f t="shared" si="11"/>
        <v>0</v>
      </c>
      <c r="E45" s="50">
        <f t="shared" si="11"/>
        <v>0</v>
      </c>
      <c r="F45" s="50">
        <f t="shared" si="11"/>
        <v>0</v>
      </c>
      <c r="G45" s="50">
        <f t="shared" si="11"/>
        <v>0</v>
      </c>
      <c r="H45" s="50">
        <f t="shared" si="11"/>
        <v>0</v>
      </c>
      <c r="I45" s="50">
        <f t="shared" si="11"/>
        <v>0</v>
      </c>
      <c r="J45" s="50">
        <f t="shared" si="11"/>
        <v>0</v>
      </c>
      <c r="K45" s="64">
        <f>SUM(B45:J45)</f>
        <v>0</v>
      </c>
    </row>
    <row r="46" spans="1:25" ht="14.4" x14ac:dyDescent="0.3">
      <c r="A46" s="19" t="s">
        <v>443</v>
      </c>
      <c r="B46" s="50">
        <f t="shared" ref="B46:J46" si="12">P30</f>
        <v>0</v>
      </c>
      <c r="C46" s="50">
        <f t="shared" si="12"/>
        <v>0</v>
      </c>
      <c r="D46" s="50">
        <f t="shared" si="12"/>
        <v>0</v>
      </c>
      <c r="E46" s="50">
        <f t="shared" si="12"/>
        <v>0</v>
      </c>
      <c r="F46" s="50">
        <f t="shared" si="12"/>
        <v>0</v>
      </c>
      <c r="G46" s="50">
        <f t="shared" si="12"/>
        <v>0</v>
      </c>
      <c r="H46" s="50">
        <f t="shared" si="12"/>
        <v>0</v>
      </c>
      <c r="I46" s="50">
        <f t="shared" si="12"/>
        <v>0</v>
      </c>
      <c r="J46" s="50">
        <f t="shared" si="12"/>
        <v>0</v>
      </c>
      <c r="K46" s="64">
        <f>SUM(B46:J46)</f>
        <v>0</v>
      </c>
      <c r="O46" s="83" t="s">
        <v>409</v>
      </c>
      <c r="P46" s="70">
        <v>2028</v>
      </c>
      <c r="Q46" s="70">
        <v>2029</v>
      </c>
      <c r="R46" s="70">
        <v>2030</v>
      </c>
      <c r="S46" s="70">
        <v>2031</v>
      </c>
      <c r="T46" s="70">
        <v>2032</v>
      </c>
      <c r="U46" s="70">
        <v>2033</v>
      </c>
      <c r="V46" s="70">
        <v>2034</v>
      </c>
      <c r="W46" s="70">
        <v>2035</v>
      </c>
      <c r="X46" s="70" t="s">
        <v>362</v>
      </c>
      <c r="Y46" s="70" t="s">
        <v>319</v>
      </c>
    </row>
    <row r="47" spans="1:25" ht="14.4" x14ac:dyDescent="0.3">
      <c r="A47" s="19" t="s">
        <v>444</v>
      </c>
      <c r="B47" s="50">
        <f t="shared" ref="B47:J47" si="13">B45-B46</f>
        <v>0</v>
      </c>
      <c r="C47" s="50">
        <f t="shared" si="13"/>
        <v>0</v>
      </c>
      <c r="D47" s="50">
        <f t="shared" si="13"/>
        <v>0</v>
      </c>
      <c r="E47" s="50">
        <f t="shared" si="13"/>
        <v>0</v>
      </c>
      <c r="F47" s="50">
        <f t="shared" si="13"/>
        <v>0</v>
      </c>
      <c r="G47" s="50">
        <f t="shared" si="13"/>
        <v>0</v>
      </c>
      <c r="H47" s="50">
        <f t="shared" si="13"/>
        <v>0</v>
      </c>
      <c r="I47" s="50">
        <f t="shared" si="13"/>
        <v>0</v>
      </c>
      <c r="J47" s="50">
        <f t="shared" si="13"/>
        <v>0</v>
      </c>
      <c r="K47" s="98"/>
      <c r="O47" s="113" t="s">
        <v>412</v>
      </c>
      <c r="P47" s="110"/>
      <c r="Q47" s="110">
        <f>$P$42*P$39</f>
        <v>0</v>
      </c>
      <c r="R47" s="110">
        <f>$P$42*(Q$39+R$39)</f>
        <v>0</v>
      </c>
      <c r="S47" s="110">
        <f>$P$42*(S$39+T$39)</f>
        <v>0</v>
      </c>
      <c r="T47" s="110">
        <f>$P$42*U$39</f>
        <v>0</v>
      </c>
      <c r="U47" s="110"/>
      <c r="V47" s="110"/>
      <c r="W47" s="110"/>
      <c r="X47" s="110"/>
      <c r="Y47" s="99">
        <f t="shared" ref="Y47:Y53" si="14">SUM(P47:X47)</f>
        <v>0</v>
      </c>
    </row>
    <row r="48" spans="1:25" ht="14.4" x14ac:dyDescent="0.3">
      <c r="A48" s="19" t="s">
        <v>445</v>
      </c>
      <c r="B48" s="50">
        <f>B47</f>
        <v>0</v>
      </c>
      <c r="C48" s="50">
        <f t="shared" ref="C48:J48" si="15">B48+C47</f>
        <v>0</v>
      </c>
      <c r="D48" s="50">
        <f t="shared" si="15"/>
        <v>0</v>
      </c>
      <c r="E48" s="50">
        <f t="shared" si="15"/>
        <v>0</v>
      </c>
      <c r="F48" s="50">
        <f t="shared" si="15"/>
        <v>0</v>
      </c>
      <c r="G48" s="50">
        <f t="shared" si="15"/>
        <v>0</v>
      </c>
      <c r="H48" s="50">
        <f t="shared" si="15"/>
        <v>0</v>
      </c>
      <c r="I48" s="50">
        <f t="shared" si="15"/>
        <v>0</v>
      </c>
      <c r="J48" s="50">
        <f t="shared" si="15"/>
        <v>0</v>
      </c>
      <c r="K48" s="98"/>
      <c r="O48" s="113" t="s">
        <v>413</v>
      </c>
      <c r="P48" s="110"/>
      <c r="Q48" s="110"/>
      <c r="R48" s="110">
        <f>$P$43*P$39</f>
        <v>0</v>
      </c>
      <c r="S48" s="110">
        <f>$P$43*(Q$39+R$39)</f>
        <v>0</v>
      </c>
      <c r="T48" s="110">
        <f>$P$43*(S$39+T$39)</f>
        <v>0</v>
      </c>
      <c r="U48" s="110">
        <f>$P$43*U$39</f>
        <v>0</v>
      </c>
      <c r="V48" s="110"/>
      <c r="W48" s="110"/>
      <c r="X48" s="110"/>
      <c r="Y48" s="99">
        <f t="shared" si="14"/>
        <v>0</v>
      </c>
    </row>
    <row r="49" spans="1:25" x14ac:dyDescent="0.3">
      <c r="O49" s="113" t="s">
        <v>414</v>
      </c>
      <c r="P49" s="110"/>
      <c r="Q49" s="110"/>
      <c r="R49" s="110"/>
      <c r="S49" s="110">
        <f>$P$44*P$39</f>
        <v>0</v>
      </c>
      <c r="T49" s="110">
        <f>$P$44*(Q$39+R$39)</f>
        <v>0</v>
      </c>
      <c r="U49" s="110">
        <f>$P$44*(S$39+T$39)</f>
        <v>0</v>
      </c>
      <c r="V49" s="110">
        <f>$P$44*U$39</f>
        <v>0</v>
      </c>
      <c r="W49" s="110"/>
      <c r="X49" s="110"/>
      <c r="Y49" s="99">
        <f t="shared" si="14"/>
        <v>0</v>
      </c>
    </row>
    <row r="50" spans="1:25" x14ac:dyDescent="0.3">
      <c r="O50" s="113" t="s">
        <v>415</v>
      </c>
      <c r="P50" s="110"/>
      <c r="Q50" s="110"/>
      <c r="R50" s="110"/>
      <c r="S50" s="110"/>
      <c r="T50" s="110"/>
      <c r="U50" s="110"/>
      <c r="V50" s="110"/>
      <c r="W50" s="110"/>
      <c r="X50" s="110"/>
      <c r="Y50" s="99">
        <f t="shared" si="14"/>
        <v>0</v>
      </c>
    </row>
    <row r="51" spans="1:25" x14ac:dyDescent="0.3">
      <c r="A51" s="101" t="s">
        <v>446</v>
      </c>
      <c r="B51" s="70">
        <v>2028</v>
      </c>
      <c r="C51" s="70">
        <v>2029</v>
      </c>
      <c r="D51" s="70">
        <v>2030</v>
      </c>
      <c r="E51" s="70">
        <v>2031</v>
      </c>
      <c r="F51" s="70">
        <v>2032</v>
      </c>
      <c r="G51" s="70">
        <v>2033</v>
      </c>
      <c r="H51" s="70">
        <v>2034</v>
      </c>
      <c r="I51" s="70">
        <v>2035</v>
      </c>
      <c r="J51" s="70" t="s">
        <v>362</v>
      </c>
      <c r="O51" s="113" t="s">
        <v>416</v>
      </c>
      <c r="P51" s="110"/>
      <c r="Q51" s="110"/>
      <c r="R51" s="110"/>
      <c r="S51" s="110"/>
      <c r="T51" s="110"/>
      <c r="U51" s="110"/>
      <c r="V51" s="110"/>
      <c r="W51" s="110"/>
      <c r="X51" s="110"/>
      <c r="Y51" s="99">
        <f t="shared" si="14"/>
        <v>0</v>
      </c>
    </row>
    <row r="52" spans="1:25" x14ac:dyDescent="0.3">
      <c r="A52" s="19" t="s">
        <v>405</v>
      </c>
      <c r="B52" s="50">
        <f>B45</f>
        <v>0</v>
      </c>
      <c r="C52" s="50">
        <f t="shared" ref="C52:J53" si="16">B52+C45</f>
        <v>0</v>
      </c>
      <c r="D52" s="50">
        <f t="shared" si="16"/>
        <v>0</v>
      </c>
      <c r="E52" s="50">
        <f t="shared" si="16"/>
        <v>0</v>
      </c>
      <c r="F52" s="50">
        <f t="shared" si="16"/>
        <v>0</v>
      </c>
      <c r="G52" s="50">
        <f t="shared" si="16"/>
        <v>0</v>
      </c>
      <c r="H52" s="50">
        <f t="shared" si="16"/>
        <v>0</v>
      </c>
      <c r="I52" s="50">
        <f t="shared" si="16"/>
        <v>0</v>
      </c>
      <c r="J52" s="50">
        <f t="shared" si="16"/>
        <v>0</v>
      </c>
      <c r="K52" s="1"/>
      <c r="O52" s="113" t="s">
        <v>417</v>
      </c>
      <c r="P52" s="110"/>
      <c r="Q52" s="110"/>
      <c r="R52" s="110"/>
      <c r="S52" s="110"/>
      <c r="T52" s="110"/>
      <c r="U52" s="110"/>
      <c r="V52" s="110"/>
      <c r="W52" s="110"/>
      <c r="X52" s="110"/>
      <c r="Y52" s="99">
        <f t="shared" si="14"/>
        <v>0</v>
      </c>
    </row>
    <row r="53" spans="1:25" x14ac:dyDescent="0.3">
      <c r="A53" s="19" t="s">
        <v>406</v>
      </c>
      <c r="B53" s="50">
        <f>B46</f>
        <v>0</v>
      </c>
      <c r="C53" s="50">
        <f t="shared" si="16"/>
        <v>0</v>
      </c>
      <c r="D53" s="50">
        <f t="shared" si="16"/>
        <v>0</v>
      </c>
      <c r="E53" s="50">
        <f t="shared" si="16"/>
        <v>0</v>
      </c>
      <c r="F53" s="50">
        <f t="shared" si="16"/>
        <v>0</v>
      </c>
      <c r="G53" s="50">
        <f t="shared" si="16"/>
        <v>0</v>
      </c>
      <c r="H53" s="50">
        <f t="shared" si="16"/>
        <v>0</v>
      </c>
      <c r="I53" s="50">
        <f t="shared" si="16"/>
        <v>0</v>
      </c>
      <c r="J53" s="50">
        <f t="shared" si="16"/>
        <v>0</v>
      </c>
      <c r="O53" s="19" t="s">
        <v>451</v>
      </c>
      <c r="P53" s="99">
        <f t="shared" ref="P53:X53" si="17">SUM(P47:P52)</f>
        <v>0</v>
      </c>
      <c r="Q53" s="99">
        <f t="shared" si="17"/>
        <v>0</v>
      </c>
      <c r="R53" s="99">
        <f t="shared" si="17"/>
        <v>0</v>
      </c>
      <c r="S53" s="99">
        <f t="shared" si="17"/>
        <v>0</v>
      </c>
      <c r="T53" s="99">
        <f t="shared" si="17"/>
        <v>0</v>
      </c>
      <c r="U53" s="99">
        <f t="shared" si="17"/>
        <v>0</v>
      </c>
      <c r="V53" s="99">
        <f t="shared" si="17"/>
        <v>0</v>
      </c>
      <c r="W53" s="99">
        <f t="shared" si="17"/>
        <v>0</v>
      </c>
      <c r="X53" s="99">
        <f t="shared" si="17"/>
        <v>0</v>
      </c>
      <c r="Y53" s="99">
        <f t="shared" si="14"/>
        <v>0</v>
      </c>
    </row>
    <row r="62" spans="1:25" x14ac:dyDescent="0.3">
      <c r="T62" s="81"/>
    </row>
    <row r="63" spans="1:25" x14ac:dyDescent="0.3">
      <c r="A63" s="82"/>
    </row>
    <row r="64" spans="1:25" x14ac:dyDescent="0.3">
      <c r="A64" s="86"/>
    </row>
    <row r="65" spans="1:1" x14ac:dyDescent="0.3">
      <c r="A65" s="14"/>
    </row>
    <row r="66" spans="1:1" x14ac:dyDescent="0.3">
      <c r="A66" s="13"/>
    </row>
    <row r="67" spans="1:1" x14ac:dyDescent="0.3">
      <c r="A67" s="13"/>
    </row>
  </sheetData>
  <sheetProtection selectLockedCells="1"/>
  <mergeCells count="5">
    <mergeCell ref="A1:K1"/>
    <mergeCell ref="A2:K2"/>
    <mergeCell ref="O20:Y20"/>
    <mergeCell ref="O34:Y34"/>
    <mergeCell ref="O36:V36"/>
  </mergeCells>
  <conditionalFormatting sqref="A1:Y67">
    <cfRule type="expression" dxfId="14" priority="100">
      <formula>ISERROR(A1)</formula>
    </cfRule>
  </conditionalFormatting>
  <conditionalFormatting sqref="B36:I36">
    <cfRule type="cellIs" dxfId="13" priority="1" operator="greaterThan">
      <formula>$B$19</formula>
    </cfRule>
  </conditionalFormatting>
  <conditionalFormatting sqref="K30">
    <cfRule type="cellIs" dxfId="12" priority="2" operator="equal">
      <formula>$B$5</formula>
    </cfRule>
  </conditionalFormatting>
  <dataValidations count="5">
    <dataValidation type="decimal" operator="greaterThanOrEqual" allowBlank="1" showInputMessage="1" showErrorMessage="1" errorTitle="Amount required" error="Enter an amount in EUR, 0 or more." promptTitle="Average project budget (EUR)" prompt="Enter the average EU budget of a project in EUR." sqref="T42" xr:uid="{ED6B80C3-D613-44F3-8F71-F4E2438FF27F}">
      <formula1>0</formula1>
    </dataValidation>
    <dataValidation type="decimal" operator="greaterThanOrEqual" allowBlank="1" showInputMessage="1" showErrorMessage="1" errorTitle="Number required" error="Enter a number, 0 or more." promptTitle="Number of projects per call" prompt="Enter the number of projects expected per call." sqref="P42:P44 R42:R44" xr:uid="{37A1EFA8-9D6C-449B-B953-852590EF1AF0}">
      <formula1>0</formula1>
    </dataValidation>
    <dataValidation type="decimal" allowBlank="1" showInputMessage="1" showErrorMessage="1" errorTitle="Percentage required" error="Enter a percentage between 0% and 100%." promptTitle="Spending profile (%)" prompt="Enter the share of the project budget spent in each half year of a regular 36 month project. The six values must add up to 100%." sqref="P38:U38" xr:uid="{C14655F9-1456-41DA-9554-A9D7AC99E2A9}">
      <formula1>0</formula1>
      <formula2>1</formula2>
    </dataValidation>
    <dataValidation type="decimal" operator="greaterThanOrEqual" allowBlank="1" showInputMessage="1" showErrorMessage="1" errorTitle="Amount required" error="Enter an amount in EUR, 0 or more." promptTitle="Payments to projects (EUR)" prompt="Enter the payments to projects per call and year in EUR (2028 to 2035 and after closure), for example copied from the mini calculator on the right. They feed the outflows of this sheet." sqref="P24:X29" xr:uid="{712B780A-3663-4347-804A-9E04D7D2E3F5}">
      <formula1>0</formula1>
    </dataValidation>
    <dataValidation allowBlank="1" showInputMessage="1" promptTitle="Call or project group" prompt="Optional. Name of the call or group of projects. The name is shown in the table on the left." sqref="O24:O29" xr:uid="{00000000-0002-0000-0C00-000004000000}"/>
  </dataValidations>
  <pageMargins left="0.7" right="0.7" top="0.75" bottom="0.75" header="0.3" footer="0.3"/>
  <drawing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72C71-ACE7-44DE-BC17-FBC75BE03980}">
  <dimension ref="A1:Y67"/>
  <sheetViews>
    <sheetView topLeftCell="A30" zoomScaleNormal="100" workbookViewId="0">
      <selection activeCell="N57" sqref="N57"/>
    </sheetView>
  </sheetViews>
  <sheetFormatPr defaultRowHeight="15.05" x14ac:dyDescent="0.3"/>
  <cols>
    <col min="1" max="1" width="44" customWidth="1"/>
    <col min="2" max="2" width="14.5546875" customWidth="1"/>
    <col min="3" max="3" width="13.5546875" customWidth="1"/>
    <col min="4" max="4" width="13.109375" customWidth="1"/>
    <col min="5" max="5" width="14.88671875" customWidth="1"/>
    <col min="6" max="6" width="14" customWidth="1"/>
    <col min="7" max="7" width="15.109375" customWidth="1"/>
    <col min="8" max="8" width="13.44140625" customWidth="1"/>
    <col min="9" max="9" width="14.44140625" customWidth="1"/>
    <col min="10" max="10" width="14.88671875" customWidth="1"/>
    <col min="11" max="11" width="14.109375" customWidth="1"/>
    <col min="15" max="15" width="19.5546875" bestFit="1" customWidth="1"/>
    <col min="20" max="20" width="14" bestFit="1" customWidth="1"/>
    <col min="25" max="25" width="10.109375" bestFit="1" customWidth="1"/>
    <col min="26" max="26" width="13.5546875" bestFit="1" customWidth="1"/>
    <col min="27" max="27" width="10.109375" bestFit="1" customWidth="1"/>
  </cols>
  <sheetData>
    <row r="1" spans="1:14" ht="18" x14ac:dyDescent="0.3">
      <c r="A1" s="157" t="s">
        <v>403</v>
      </c>
      <c r="B1" s="157"/>
      <c r="C1" s="157"/>
      <c r="D1" s="157"/>
      <c r="E1" s="157"/>
      <c r="F1" s="157"/>
      <c r="G1" s="157"/>
      <c r="H1" s="157"/>
      <c r="I1" s="157"/>
      <c r="J1" s="157"/>
      <c r="K1" s="157"/>
    </row>
    <row r="2" spans="1:14" ht="18" x14ac:dyDescent="0.3">
      <c r="A2" s="157" t="s">
        <v>407</v>
      </c>
      <c r="B2" s="157"/>
      <c r="C2" s="157"/>
      <c r="D2" s="157"/>
      <c r="E2" s="157"/>
      <c r="F2" s="157"/>
      <c r="G2" s="157"/>
      <c r="H2" s="157"/>
      <c r="I2" s="157"/>
      <c r="J2" s="157"/>
      <c r="K2" s="157"/>
    </row>
    <row r="3" spans="1:14" ht="14.4" x14ac:dyDescent="0.3">
      <c r="A3" s="5"/>
    </row>
    <row r="4" spans="1:14" ht="14.4" x14ac:dyDescent="0.3">
      <c r="B4" s="6" t="s">
        <v>408</v>
      </c>
      <c r="C4" s="6" t="s">
        <v>297</v>
      </c>
    </row>
    <row r="5" spans="1:14" ht="14.4" x14ac:dyDescent="0.3">
      <c r="A5" s="6" t="str">
        <f>'pay out values'!B33</f>
        <v>Measure 7</v>
      </c>
      <c r="B5" s="50">
        <f>'pay out values'!D33</f>
        <v>0</v>
      </c>
      <c r="C5" s="102">
        <f>'pay out values'!C33</f>
        <v>0</v>
      </c>
      <c r="K5" s="3"/>
    </row>
    <row r="6" spans="1:14" ht="14.4" x14ac:dyDescent="0.3">
      <c r="C6" s="3"/>
      <c r="D6" s="3"/>
      <c r="E6" s="87"/>
      <c r="F6" s="3"/>
      <c r="K6" s="3"/>
      <c r="N6" s="13"/>
    </row>
    <row r="7" spans="1:14" x14ac:dyDescent="0.3">
      <c r="A7" s="69" t="s">
        <v>368</v>
      </c>
      <c r="B7" s="83" t="s">
        <v>369</v>
      </c>
      <c r="C7" s="84" t="s">
        <v>370</v>
      </c>
      <c r="D7" s="3"/>
      <c r="E7" s="87"/>
      <c r="F7" s="3"/>
      <c r="K7" s="3"/>
      <c r="N7" s="13"/>
    </row>
    <row r="8" spans="1:14" ht="14.4" x14ac:dyDescent="0.3">
      <c r="A8" s="19" t="s">
        <v>371</v>
      </c>
      <c r="B8" s="50">
        <f>$B$5*C8</f>
        <v>0</v>
      </c>
      <c r="C8" s="102">
        <f>'N+1 '!J15</f>
        <v>0.12</v>
      </c>
      <c r="D8" s="3"/>
      <c r="E8" s="87"/>
      <c r="F8" s="3"/>
      <c r="K8" s="3"/>
    </row>
    <row r="9" spans="1:14" ht="14.4" x14ac:dyDescent="0.3">
      <c r="A9" s="19" t="s">
        <v>372</v>
      </c>
      <c r="B9" s="50">
        <f>$B$5*C9</f>
        <v>0</v>
      </c>
      <c r="C9" s="102">
        <f>1-C8</f>
        <v>0.88</v>
      </c>
      <c r="D9" s="3"/>
      <c r="E9" s="87"/>
      <c r="F9" s="3"/>
      <c r="K9" s="3"/>
    </row>
    <row r="10" spans="1:14" x14ac:dyDescent="0.3">
      <c r="A10" s="19" t="s">
        <v>286</v>
      </c>
      <c r="B10" s="50">
        <f>SUM(B8:B9)</f>
        <v>0</v>
      </c>
      <c r="C10" s="102">
        <f>SUM(C8:C9)</f>
        <v>1</v>
      </c>
      <c r="D10" s="3"/>
      <c r="E10" s="87"/>
      <c r="F10" s="3"/>
      <c r="K10" s="3"/>
    </row>
    <row r="11" spans="1:14" ht="14.4" x14ac:dyDescent="0.3">
      <c r="D11" s="3"/>
      <c r="E11" s="87"/>
      <c r="F11" s="3"/>
      <c r="K11" s="3"/>
    </row>
    <row r="12" spans="1:14" x14ac:dyDescent="0.3">
      <c r="A12" s="69" t="s">
        <v>373</v>
      </c>
      <c r="B12" s="83" t="s">
        <v>369</v>
      </c>
      <c r="C12" s="84" t="s">
        <v>370</v>
      </c>
      <c r="D12" s="3"/>
      <c r="E12" s="87"/>
      <c r="F12" s="3"/>
      <c r="K12" s="3"/>
    </row>
    <row r="13" spans="1:14" ht="14.4" x14ac:dyDescent="0.3">
      <c r="A13" s="19" t="s">
        <v>371</v>
      </c>
      <c r="B13" s="50">
        <f>$B$5*C13</f>
        <v>0</v>
      </c>
      <c r="C13" s="102">
        <f>C8</f>
        <v>0.12</v>
      </c>
      <c r="D13" s="3"/>
      <c r="E13" s="87"/>
      <c r="F13" s="3"/>
      <c r="K13" s="3"/>
    </row>
    <row r="14" spans="1:14" ht="14.4" x14ac:dyDescent="0.3">
      <c r="A14" s="19" t="s">
        <v>372</v>
      </c>
      <c r="B14" s="50">
        <f>$B$5*C14</f>
        <v>0</v>
      </c>
      <c r="C14" s="102">
        <f>C19-C8</f>
        <v>0.83</v>
      </c>
      <c r="D14" s="3"/>
      <c r="E14" s="87"/>
      <c r="F14" s="3"/>
      <c r="K14" s="3"/>
    </row>
    <row r="15" spans="1:14" ht="14.4" x14ac:dyDescent="0.3">
      <c r="A15" s="19" t="s">
        <v>375</v>
      </c>
      <c r="B15" s="50">
        <f>$B$5*C15</f>
        <v>0</v>
      </c>
      <c r="C15" s="102">
        <f>1-C19</f>
        <v>5.0000000000000044E-2</v>
      </c>
      <c r="D15" s="3"/>
      <c r="E15" s="87"/>
      <c r="K15" s="3"/>
      <c r="M15" s="3"/>
    </row>
    <row r="16" spans="1:14" x14ac:dyDescent="0.3">
      <c r="A16" s="19" t="s">
        <v>286</v>
      </c>
      <c r="B16" s="50">
        <f>SUM(B13:B15)</f>
        <v>0</v>
      </c>
      <c r="C16" s="102">
        <f>SUM(C13:C15)</f>
        <v>1</v>
      </c>
      <c r="D16" s="3"/>
      <c r="E16" s="87"/>
      <c r="F16" s="3"/>
      <c r="K16" s="3"/>
    </row>
    <row r="17" spans="1:25" ht="14.4" x14ac:dyDescent="0.3">
      <c r="E17" s="87"/>
      <c r="F17" s="3"/>
      <c r="K17" s="3"/>
      <c r="N17" s="13"/>
    </row>
    <row r="18" spans="1:25" x14ac:dyDescent="0.3">
      <c r="A18" s="83" t="s">
        <v>376</v>
      </c>
      <c r="B18" s="83" t="s">
        <v>369</v>
      </c>
      <c r="C18" s="84" t="s">
        <v>370</v>
      </c>
      <c r="D18" s="70" t="s">
        <v>377</v>
      </c>
      <c r="E18" s="87"/>
      <c r="F18" s="3"/>
      <c r="K18" s="3"/>
      <c r="N18" s="13"/>
    </row>
    <row r="19" spans="1:25" ht="14.4" x14ac:dyDescent="0.3">
      <c r="A19" s="19" t="str">
        <f>"Payment ceiling at "&amp;TEXT(C19,"0%")</f>
        <v>Payment ceiling at 95%</v>
      </c>
      <c r="B19" s="50">
        <f>B5*C19</f>
        <v>0</v>
      </c>
      <c r="C19" s="103">
        <f>Inflows!C22</f>
        <v>0.95</v>
      </c>
      <c r="D19" s="50">
        <f>B5-B19</f>
        <v>0</v>
      </c>
      <c r="E19" s="87"/>
      <c r="F19" s="3"/>
      <c r="K19" s="3"/>
      <c r="N19" s="13"/>
    </row>
    <row r="20" spans="1:25" ht="18" x14ac:dyDescent="0.3">
      <c r="A20" s="19" t="s">
        <v>379</v>
      </c>
      <c r="B20" s="98"/>
      <c r="C20" s="103">
        <f>C8</f>
        <v>0.12</v>
      </c>
      <c r="D20" s="50">
        <f>B8</f>
        <v>0</v>
      </c>
      <c r="E20" s="87"/>
      <c r="K20" s="3"/>
      <c r="N20" s="13"/>
      <c r="O20" s="157" t="s">
        <v>409</v>
      </c>
      <c r="P20" s="157"/>
      <c r="Q20" s="157"/>
      <c r="R20" s="157"/>
      <c r="S20" s="157"/>
      <c r="T20" s="157"/>
      <c r="U20" s="157"/>
      <c r="V20" s="157"/>
      <c r="W20" s="157"/>
      <c r="X20" s="157"/>
      <c r="Y20" s="157"/>
    </row>
    <row r="21" spans="1:25" ht="14.4" x14ac:dyDescent="0.3">
      <c r="A21" s="19" t="s">
        <v>380</v>
      </c>
      <c r="B21" s="50">
        <f>B14</f>
        <v>0</v>
      </c>
      <c r="C21" s="103">
        <f>C19-C20</f>
        <v>0.83</v>
      </c>
      <c r="D21" s="50">
        <f>SUM(D19:D20)</f>
        <v>0</v>
      </c>
      <c r="E21" s="87"/>
      <c r="F21" s="3"/>
      <c r="K21" s="3"/>
      <c r="N21" s="13"/>
    </row>
    <row r="22" spans="1:25" ht="14.4" x14ac:dyDescent="0.3">
      <c r="K22" s="3"/>
      <c r="M22" s="3"/>
      <c r="O22" t="s">
        <v>410</v>
      </c>
    </row>
    <row r="23" spans="1:25" ht="14.4" x14ac:dyDescent="0.3">
      <c r="A23" s="83" t="s">
        <v>411</v>
      </c>
      <c r="B23" s="70">
        <v>2028</v>
      </c>
      <c r="C23" s="70">
        <v>2029</v>
      </c>
      <c r="D23" s="70">
        <v>2030</v>
      </c>
      <c r="E23" s="70">
        <v>2031</v>
      </c>
      <c r="F23" s="70">
        <v>2032</v>
      </c>
      <c r="G23" s="70">
        <v>2033</v>
      </c>
      <c r="H23" s="70">
        <v>2034</v>
      </c>
      <c r="I23" s="70">
        <v>2035</v>
      </c>
      <c r="J23" s="70" t="s">
        <v>362</v>
      </c>
      <c r="K23" s="70" t="s">
        <v>319</v>
      </c>
      <c r="O23" s="83" t="s">
        <v>409</v>
      </c>
      <c r="P23" s="70">
        <v>2028</v>
      </c>
      <c r="Q23" s="70">
        <v>2029</v>
      </c>
      <c r="R23" s="70">
        <v>2030</v>
      </c>
      <c r="S23" s="70">
        <v>2031</v>
      </c>
      <c r="T23" s="70">
        <v>2032</v>
      </c>
      <c r="U23" s="70">
        <v>2033</v>
      </c>
      <c r="V23" s="70">
        <v>2034</v>
      </c>
      <c r="W23" s="70">
        <v>2035</v>
      </c>
      <c r="X23" s="70" t="s">
        <v>362</v>
      </c>
      <c r="Y23" s="70" t="s">
        <v>319</v>
      </c>
    </row>
    <row r="24" spans="1:25" ht="14.4" x14ac:dyDescent="0.3">
      <c r="A24" s="19" t="str">
        <f t="shared" ref="A24:J29" si="0">O24</f>
        <v>Call 1 projects</v>
      </c>
      <c r="B24" s="50">
        <f t="shared" si="0"/>
        <v>0</v>
      </c>
      <c r="C24" s="50">
        <f t="shared" si="0"/>
        <v>0</v>
      </c>
      <c r="D24" s="50">
        <f t="shared" si="0"/>
        <v>0</v>
      </c>
      <c r="E24" s="50">
        <f t="shared" si="0"/>
        <v>0</v>
      </c>
      <c r="F24" s="50">
        <f t="shared" si="0"/>
        <v>0</v>
      </c>
      <c r="G24" s="50">
        <f t="shared" si="0"/>
        <v>0</v>
      </c>
      <c r="H24" s="50">
        <f t="shared" si="0"/>
        <v>0</v>
      </c>
      <c r="I24" s="50">
        <f t="shared" si="0"/>
        <v>0</v>
      </c>
      <c r="J24" s="50">
        <f t="shared" si="0"/>
        <v>0</v>
      </c>
      <c r="K24" s="64">
        <f t="shared" ref="K24:K30" si="1">SUM(B24:J24)</f>
        <v>0</v>
      </c>
      <c r="O24" s="109" t="s">
        <v>412</v>
      </c>
      <c r="P24" s="110"/>
      <c r="Q24" s="110"/>
      <c r="R24" s="110"/>
      <c r="S24" s="110"/>
      <c r="T24" s="110"/>
      <c r="U24" s="110"/>
      <c r="V24" s="110"/>
      <c r="W24" s="110"/>
      <c r="X24" s="110"/>
      <c r="Y24" s="99">
        <f t="shared" ref="Y24:Y30" si="2">SUM(P24:X24)</f>
        <v>0</v>
      </c>
    </row>
    <row r="25" spans="1:25" ht="14.4" x14ac:dyDescent="0.3">
      <c r="A25" s="19" t="str">
        <f t="shared" si="0"/>
        <v>Call 2 projects</v>
      </c>
      <c r="B25" s="50">
        <f t="shared" si="0"/>
        <v>0</v>
      </c>
      <c r="C25" s="50">
        <f t="shared" si="0"/>
        <v>0</v>
      </c>
      <c r="D25" s="50">
        <f t="shared" si="0"/>
        <v>0</v>
      </c>
      <c r="E25" s="50">
        <f t="shared" si="0"/>
        <v>0</v>
      </c>
      <c r="F25" s="50">
        <f t="shared" si="0"/>
        <v>0</v>
      </c>
      <c r="G25" s="50">
        <f t="shared" si="0"/>
        <v>0</v>
      </c>
      <c r="H25" s="50">
        <f t="shared" si="0"/>
        <v>0</v>
      </c>
      <c r="I25" s="50">
        <f t="shared" si="0"/>
        <v>0</v>
      </c>
      <c r="J25" s="50">
        <f t="shared" si="0"/>
        <v>0</v>
      </c>
      <c r="K25" s="64">
        <f t="shared" si="1"/>
        <v>0</v>
      </c>
      <c r="O25" s="109" t="s">
        <v>413</v>
      </c>
      <c r="P25" s="110"/>
      <c r="Q25" s="110"/>
      <c r="R25" s="110"/>
      <c r="S25" s="110"/>
      <c r="T25" s="110"/>
      <c r="U25" s="110"/>
      <c r="V25" s="110"/>
      <c r="W25" s="110"/>
      <c r="X25" s="110"/>
      <c r="Y25" s="99">
        <f t="shared" si="2"/>
        <v>0</v>
      </c>
    </row>
    <row r="26" spans="1:25" ht="14.4" x14ac:dyDescent="0.3">
      <c r="A26" s="19" t="str">
        <f t="shared" si="0"/>
        <v>Call 3 projects</v>
      </c>
      <c r="B26" s="50">
        <f t="shared" si="0"/>
        <v>0</v>
      </c>
      <c r="C26" s="50">
        <f t="shared" si="0"/>
        <v>0</v>
      </c>
      <c r="D26" s="50">
        <f t="shared" si="0"/>
        <v>0</v>
      </c>
      <c r="E26" s="50">
        <f t="shared" si="0"/>
        <v>0</v>
      </c>
      <c r="F26" s="50">
        <f t="shared" si="0"/>
        <v>0</v>
      </c>
      <c r="G26" s="50">
        <f t="shared" si="0"/>
        <v>0</v>
      </c>
      <c r="H26" s="50">
        <f t="shared" si="0"/>
        <v>0</v>
      </c>
      <c r="I26" s="50">
        <f t="shared" si="0"/>
        <v>0</v>
      </c>
      <c r="J26" s="50">
        <f t="shared" si="0"/>
        <v>0</v>
      </c>
      <c r="K26" s="64">
        <f t="shared" si="1"/>
        <v>0</v>
      </c>
      <c r="O26" s="109" t="s">
        <v>414</v>
      </c>
      <c r="P26" s="110"/>
      <c r="Q26" s="110"/>
      <c r="R26" s="110"/>
      <c r="S26" s="110"/>
      <c r="T26" s="110"/>
      <c r="U26" s="110"/>
      <c r="V26" s="110"/>
      <c r="W26" s="110"/>
      <c r="X26" s="110"/>
      <c r="Y26" s="99">
        <f t="shared" si="2"/>
        <v>0</v>
      </c>
    </row>
    <row r="27" spans="1:25" ht="14.4" x14ac:dyDescent="0.3">
      <c r="A27" s="19" t="str">
        <f t="shared" si="0"/>
        <v>Call 4  projects</v>
      </c>
      <c r="B27" s="50">
        <f t="shared" si="0"/>
        <v>0</v>
      </c>
      <c r="C27" s="50">
        <f t="shared" si="0"/>
        <v>0</v>
      </c>
      <c r="D27" s="50">
        <f t="shared" si="0"/>
        <v>0</v>
      </c>
      <c r="E27" s="50">
        <f t="shared" si="0"/>
        <v>0</v>
      </c>
      <c r="F27" s="50">
        <f t="shared" si="0"/>
        <v>0</v>
      </c>
      <c r="G27" s="50">
        <f t="shared" si="0"/>
        <v>0</v>
      </c>
      <c r="H27" s="50">
        <f t="shared" si="0"/>
        <v>0</v>
      </c>
      <c r="I27" s="50">
        <f t="shared" si="0"/>
        <v>0</v>
      </c>
      <c r="J27" s="50">
        <f t="shared" si="0"/>
        <v>0</v>
      </c>
      <c r="K27" s="64">
        <f t="shared" si="1"/>
        <v>0</v>
      </c>
      <c r="O27" s="109" t="s">
        <v>415</v>
      </c>
      <c r="P27" s="110"/>
      <c r="Q27" s="110"/>
      <c r="R27" s="110"/>
      <c r="S27" s="110"/>
      <c r="T27" s="110"/>
      <c r="U27" s="110"/>
      <c r="V27" s="110"/>
      <c r="W27" s="110"/>
      <c r="X27" s="110"/>
      <c r="Y27" s="99">
        <f t="shared" si="2"/>
        <v>0</v>
      </c>
    </row>
    <row r="28" spans="1:25" ht="14.4" x14ac:dyDescent="0.3">
      <c r="A28" s="19" t="str">
        <f t="shared" si="0"/>
        <v>Call 5  projects</v>
      </c>
      <c r="B28" s="50">
        <f t="shared" si="0"/>
        <v>0</v>
      </c>
      <c r="C28" s="50">
        <f t="shared" si="0"/>
        <v>0</v>
      </c>
      <c r="D28" s="50">
        <f t="shared" si="0"/>
        <v>0</v>
      </c>
      <c r="E28" s="50">
        <f t="shared" si="0"/>
        <v>0</v>
      </c>
      <c r="F28" s="50">
        <f t="shared" si="0"/>
        <v>0</v>
      </c>
      <c r="G28" s="50">
        <f t="shared" si="0"/>
        <v>0</v>
      </c>
      <c r="H28" s="50">
        <f t="shared" si="0"/>
        <v>0</v>
      </c>
      <c r="I28" s="50">
        <f t="shared" si="0"/>
        <v>0</v>
      </c>
      <c r="J28" s="50">
        <f t="shared" si="0"/>
        <v>0</v>
      </c>
      <c r="K28" s="64">
        <f t="shared" si="1"/>
        <v>0</v>
      </c>
      <c r="O28" s="109" t="s">
        <v>416</v>
      </c>
      <c r="P28" s="110"/>
      <c r="Q28" s="110"/>
      <c r="R28" s="110"/>
      <c r="S28" s="110"/>
      <c r="T28" s="110"/>
      <c r="U28" s="110"/>
      <c r="V28" s="110"/>
      <c r="W28" s="110"/>
      <c r="X28" s="110"/>
      <c r="Y28" s="99">
        <f t="shared" si="2"/>
        <v>0</v>
      </c>
    </row>
    <row r="29" spans="1:25" ht="14.4" x14ac:dyDescent="0.3">
      <c r="A29" s="19" t="str">
        <f t="shared" si="0"/>
        <v>Call 6 projects</v>
      </c>
      <c r="B29" s="50">
        <f t="shared" si="0"/>
        <v>0</v>
      </c>
      <c r="C29" s="50">
        <f t="shared" si="0"/>
        <v>0</v>
      </c>
      <c r="D29" s="50">
        <f t="shared" si="0"/>
        <v>0</v>
      </c>
      <c r="E29" s="50">
        <f t="shared" si="0"/>
        <v>0</v>
      </c>
      <c r="F29" s="50">
        <f t="shared" si="0"/>
        <v>0</v>
      </c>
      <c r="G29" s="50">
        <f t="shared" si="0"/>
        <v>0</v>
      </c>
      <c r="H29" s="50">
        <f t="shared" si="0"/>
        <v>0</v>
      </c>
      <c r="I29" s="50">
        <f t="shared" si="0"/>
        <v>0</v>
      </c>
      <c r="J29" s="50">
        <f t="shared" si="0"/>
        <v>0</v>
      </c>
      <c r="K29" s="64">
        <f t="shared" si="1"/>
        <v>0</v>
      </c>
      <c r="O29" s="109" t="s">
        <v>417</v>
      </c>
      <c r="P29" s="110"/>
      <c r="Q29" s="110"/>
      <c r="R29" s="110"/>
      <c r="S29" s="110"/>
      <c r="T29" s="110"/>
      <c r="U29" s="110"/>
      <c r="V29" s="110"/>
      <c r="W29" s="110"/>
      <c r="X29" s="110"/>
      <c r="Y29" s="99">
        <f t="shared" si="2"/>
        <v>0</v>
      </c>
    </row>
    <row r="30" spans="1:25" ht="14.4" x14ac:dyDescent="0.3">
      <c r="A30" s="19" t="s">
        <v>452</v>
      </c>
      <c r="B30" s="50">
        <f t="shared" ref="B30:J30" si="3">SUM(B24:B29)</f>
        <v>0</v>
      </c>
      <c r="C30" s="64">
        <f t="shared" si="3"/>
        <v>0</v>
      </c>
      <c r="D30" s="64">
        <f t="shared" si="3"/>
        <v>0</v>
      </c>
      <c r="E30" s="64">
        <f t="shared" si="3"/>
        <v>0</v>
      </c>
      <c r="F30" s="64">
        <f t="shared" si="3"/>
        <v>0</v>
      </c>
      <c r="G30" s="64">
        <f t="shared" si="3"/>
        <v>0</v>
      </c>
      <c r="H30" s="64">
        <f t="shared" si="3"/>
        <v>0</v>
      </c>
      <c r="I30" s="64">
        <f t="shared" si="3"/>
        <v>0</v>
      </c>
      <c r="J30" s="64">
        <f t="shared" si="3"/>
        <v>0</v>
      </c>
      <c r="K30" s="64">
        <f t="shared" si="1"/>
        <v>0</v>
      </c>
      <c r="O30" s="19" t="s">
        <v>452</v>
      </c>
      <c r="P30" s="99">
        <f t="shared" ref="P30:X30" si="4">SUM(P24:P29)</f>
        <v>0</v>
      </c>
      <c r="Q30" s="99">
        <f t="shared" si="4"/>
        <v>0</v>
      </c>
      <c r="R30" s="99">
        <f t="shared" si="4"/>
        <v>0</v>
      </c>
      <c r="S30" s="99">
        <f t="shared" si="4"/>
        <v>0</v>
      </c>
      <c r="T30" s="99">
        <f t="shared" si="4"/>
        <v>0</v>
      </c>
      <c r="U30" s="99">
        <f t="shared" si="4"/>
        <v>0</v>
      </c>
      <c r="V30" s="99">
        <f t="shared" si="4"/>
        <v>0</v>
      </c>
      <c r="W30" s="99">
        <f t="shared" si="4"/>
        <v>0</v>
      </c>
      <c r="X30" s="99">
        <f t="shared" si="4"/>
        <v>0</v>
      </c>
      <c r="Y30" s="99">
        <f t="shared" si="2"/>
        <v>0</v>
      </c>
    </row>
    <row r="32" spans="1:25" ht="14.4" x14ac:dyDescent="0.3">
      <c r="A32" s="83" t="s">
        <v>419</v>
      </c>
      <c r="B32" s="70">
        <v>2028</v>
      </c>
      <c r="C32" s="70">
        <v>2029</v>
      </c>
      <c r="D32" s="70">
        <v>2030</v>
      </c>
      <c r="E32" s="70">
        <v>2031</v>
      </c>
      <c r="F32" s="70">
        <v>2032</v>
      </c>
      <c r="G32" s="70">
        <v>2033</v>
      </c>
      <c r="H32" s="70">
        <v>2034</v>
      </c>
      <c r="I32" s="70">
        <v>2035</v>
      </c>
      <c r="J32" s="70" t="s">
        <v>362</v>
      </c>
      <c r="K32" s="70" t="s">
        <v>319</v>
      </c>
      <c r="L32" s="11"/>
    </row>
    <row r="33" spans="1:25" ht="14.4" x14ac:dyDescent="0.3">
      <c r="A33" s="19" t="s">
        <v>420</v>
      </c>
      <c r="B33" s="50">
        <f>IF(Inflows!$J$7=0,0,Inflows!B28/Inflows!$J$7*$B$5)</f>
        <v>0</v>
      </c>
      <c r="C33" s="50">
        <f>IF(Inflows!$J$7=0,0,Inflows!C28/Inflows!$J$7*$B$5)</f>
        <v>0</v>
      </c>
      <c r="D33" s="50">
        <f>IF(Inflows!$J$7=0,0,Inflows!D28/Inflows!$J$7*$B$5)</f>
        <v>0</v>
      </c>
      <c r="E33" s="50">
        <f>IF(Inflows!$J$7=0,0,Inflows!E28/Inflows!$J$7*$B$5)</f>
        <v>0</v>
      </c>
      <c r="F33" s="50">
        <f>IF(Inflows!$J$7=0,0,Inflows!F28/Inflows!$J$7*$B$5)</f>
        <v>0</v>
      </c>
      <c r="G33" s="50">
        <f>IF(Inflows!$J$7=0,0,Inflows!G28/Inflows!$J$7*$B$5)</f>
        <v>0</v>
      </c>
      <c r="H33" s="50">
        <f>IF(Inflows!$J$7=0,0,Inflows!H28/Inflows!$J$7*$B$5)</f>
        <v>0</v>
      </c>
      <c r="I33" s="50">
        <f>IF(Inflows!$J$7=0,0,Inflows!I28/Inflows!$J$7*$B$5)</f>
        <v>0</v>
      </c>
      <c r="J33" s="88"/>
      <c r="K33" s="64">
        <f>SUM(B33:J33)</f>
        <v>0</v>
      </c>
      <c r="L33" s="1"/>
    </row>
    <row r="34" spans="1:25" ht="18" x14ac:dyDescent="0.3">
      <c r="A34" s="19" t="s">
        <v>383</v>
      </c>
      <c r="B34" s="50">
        <f>'pay out values'!P152</f>
        <v>0</v>
      </c>
      <c r="C34" s="50">
        <f>'pay out values'!Q152</f>
        <v>0</v>
      </c>
      <c r="D34" s="50">
        <f>'pay out values'!R152</f>
        <v>0</v>
      </c>
      <c r="E34" s="50">
        <f>'pay out values'!S152</f>
        <v>0</v>
      </c>
      <c r="F34" s="50">
        <f>'pay out values'!T152</f>
        <v>0</v>
      </c>
      <c r="G34" s="50">
        <f>'pay out values'!U152</f>
        <v>0</v>
      </c>
      <c r="H34" s="50">
        <f>'pay out values'!V152</f>
        <v>0</v>
      </c>
      <c r="I34" s="50">
        <f>'pay out values'!W152</f>
        <v>0</v>
      </c>
      <c r="J34" s="88"/>
      <c r="K34" s="64">
        <f>SUM(B34:J34)</f>
        <v>0</v>
      </c>
      <c r="O34" s="157" t="s">
        <v>421</v>
      </c>
      <c r="P34" s="157"/>
      <c r="Q34" s="157"/>
      <c r="R34" s="157"/>
      <c r="S34" s="157"/>
      <c r="T34" s="157"/>
      <c r="U34" s="157"/>
      <c r="V34" s="157"/>
      <c r="W34" s="157"/>
      <c r="X34" s="157"/>
      <c r="Y34" s="157"/>
    </row>
    <row r="35" spans="1:25" ht="14.4" x14ac:dyDescent="0.3">
      <c r="A35" s="19" t="s">
        <v>384</v>
      </c>
      <c r="B35" s="50">
        <f>B34</f>
        <v>0</v>
      </c>
      <c r="C35" s="50">
        <f t="shared" ref="C35:I35" si="5">B35+C34</f>
        <v>0</v>
      </c>
      <c r="D35" s="50">
        <f t="shared" si="5"/>
        <v>0</v>
      </c>
      <c r="E35" s="50">
        <f t="shared" si="5"/>
        <v>0</v>
      </c>
      <c r="F35" s="50">
        <f t="shared" si="5"/>
        <v>0</v>
      </c>
      <c r="G35" s="50">
        <f t="shared" si="5"/>
        <v>0</v>
      </c>
      <c r="H35" s="50">
        <f t="shared" si="5"/>
        <v>0</v>
      </c>
      <c r="I35" s="50">
        <f t="shared" si="5"/>
        <v>0</v>
      </c>
      <c r="J35" s="88"/>
      <c r="K35" s="107"/>
    </row>
    <row r="36" spans="1:25" ht="14.4" x14ac:dyDescent="0.3">
      <c r="A36" s="19" t="s">
        <v>385</v>
      </c>
      <c r="B36" s="50">
        <f>B35+SUM($B33:B33)</f>
        <v>0</v>
      </c>
      <c r="C36" s="50">
        <f>C35+SUM($B33:C33)</f>
        <v>0</v>
      </c>
      <c r="D36" s="50">
        <f>D35+SUM($B33:D33)</f>
        <v>0</v>
      </c>
      <c r="E36" s="50">
        <f>E35+SUM($B33:E33)</f>
        <v>0</v>
      </c>
      <c r="F36" s="50">
        <f>F35+SUM($B33:F33)</f>
        <v>0</v>
      </c>
      <c r="G36" s="50">
        <f>G35+SUM($B33:G33)</f>
        <v>0</v>
      </c>
      <c r="H36" s="50">
        <f>H35+SUM($B33:H33)</f>
        <v>0</v>
      </c>
      <c r="I36" s="50">
        <f>I35+SUM($B33:I33)</f>
        <v>0</v>
      </c>
      <c r="J36" s="88"/>
      <c r="K36" s="107"/>
      <c r="O36" s="177" t="s">
        <v>422</v>
      </c>
      <c r="P36" s="178"/>
      <c r="Q36" s="178"/>
      <c r="R36" s="178"/>
      <c r="S36" s="178"/>
      <c r="T36" s="178"/>
      <c r="U36" s="178"/>
      <c r="V36" s="178"/>
    </row>
    <row r="37" spans="1:25" ht="14.4" x14ac:dyDescent="0.3">
      <c r="A37" s="19" t="str">
        <f>"amount above "&amp;TEXT($C$19,"0%")&amp;" ceiling"</f>
        <v>amount above 95% ceiling</v>
      </c>
      <c r="B37" s="50">
        <f t="shared" ref="B37:I37" si="6">IF(B36&gt;$B$19, B36-$B$19, 0)</f>
        <v>0</v>
      </c>
      <c r="C37" s="50">
        <f t="shared" si="6"/>
        <v>0</v>
      </c>
      <c r="D37" s="50">
        <f t="shared" si="6"/>
        <v>0</v>
      </c>
      <c r="E37" s="50">
        <f t="shared" si="6"/>
        <v>0</v>
      </c>
      <c r="F37" s="50">
        <f t="shared" si="6"/>
        <v>0</v>
      </c>
      <c r="G37" s="50">
        <f t="shared" si="6"/>
        <v>0</v>
      </c>
      <c r="H37" s="50">
        <f t="shared" si="6"/>
        <v>0</v>
      </c>
      <c r="I37" s="50">
        <f t="shared" si="6"/>
        <v>0</v>
      </c>
      <c r="J37" s="88"/>
      <c r="K37" s="107"/>
      <c r="O37" s="83" t="s">
        <v>423</v>
      </c>
      <c r="P37" s="70" t="s">
        <v>424</v>
      </c>
      <c r="Q37" s="70" t="s">
        <v>425</v>
      </c>
      <c r="R37" s="70" t="s">
        <v>426</v>
      </c>
      <c r="S37" s="70" t="s">
        <v>427</v>
      </c>
      <c r="T37" s="70" t="s">
        <v>428</v>
      </c>
      <c r="U37" s="70" t="s">
        <v>429</v>
      </c>
      <c r="V37" s="70" t="s">
        <v>319</v>
      </c>
    </row>
    <row r="38" spans="1:25" ht="14.4" x14ac:dyDescent="0.3">
      <c r="A38" s="19" t="str">
        <f>"clearance of pre-financing AND impact of "&amp;TEXT($C$19,"0%")&amp;" ceiling"</f>
        <v>clearance of pre-financing AND impact of 95% ceiling</v>
      </c>
      <c r="B38" s="50">
        <f>MIN(B36,$B$19)-B33-B34</f>
        <v>0</v>
      </c>
      <c r="C38" s="50">
        <f t="shared" ref="C38:I38" si="7">MIN(C36,$B$19)-MIN(B36,$B$19)-C33-C34</f>
        <v>0</v>
      </c>
      <c r="D38" s="50">
        <f t="shared" si="7"/>
        <v>0</v>
      </c>
      <c r="E38" s="50">
        <f t="shared" si="7"/>
        <v>0</v>
      </c>
      <c r="F38" s="50">
        <f t="shared" si="7"/>
        <v>0</v>
      </c>
      <c r="G38" s="50">
        <f t="shared" si="7"/>
        <v>0</v>
      </c>
      <c r="H38" s="50">
        <f t="shared" si="7"/>
        <v>0</v>
      </c>
      <c r="I38" s="50">
        <f t="shared" si="7"/>
        <v>0</v>
      </c>
      <c r="J38" s="88"/>
      <c r="K38" s="64">
        <f>SUM(B38:J38)</f>
        <v>0</v>
      </c>
      <c r="O38" s="83" t="s">
        <v>430</v>
      </c>
      <c r="P38" s="111">
        <v>0.05</v>
      </c>
      <c r="Q38" s="111">
        <v>0.15</v>
      </c>
      <c r="R38" s="111">
        <v>0.35</v>
      </c>
      <c r="S38" s="111">
        <v>0.25</v>
      </c>
      <c r="T38" s="111">
        <v>0.15</v>
      </c>
      <c r="U38" s="111">
        <v>0.05</v>
      </c>
      <c r="V38" s="100">
        <f>SUM(P38:U38)</f>
        <v>1</v>
      </c>
    </row>
    <row r="39" spans="1:25" x14ac:dyDescent="0.3">
      <c r="A39" s="19" t="str">
        <f>TEXT(1-$C$19,"0%")&amp;" paid after programme closure"</f>
        <v>5% paid after programme closure</v>
      </c>
      <c r="B39" s="89"/>
      <c r="C39" s="90"/>
      <c r="D39" s="90"/>
      <c r="E39" s="90"/>
      <c r="F39" s="90"/>
      <c r="G39" s="90"/>
      <c r="H39" s="90"/>
      <c r="I39" s="91"/>
      <c r="J39" s="50">
        <f>B15</f>
        <v>0</v>
      </c>
      <c r="K39" s="64">
        <f>SUM(B39:J39)</f>
        <v>0</v>
      </c>
      <c r="O39" s="83" t="s">
        <v>431</v>
      </c>
      <c r="P39" s="95">
        <f t="shared" ref="P39:U39" si="8">P38*$T$42</f>
        <v>0</v>
      </c>
      <c r="Q39" s="95">
        <f t="shared" si="8"/>
        <v>0</v>
      </c>
      <c r="R39" s="95">
        <f t="shared" si="8"/>
        <v>0</v>
      </c>
      <c r="S39" s="95">
        <f t="shared" si="8"/>
        <v>0</v>
      </c>
      <c r="T39" s="95">
        <f t="shared" si="8"/>
        <v>0</v>
      </c>
      <c r="U39" s="95">
        <f t="shared" si="8"/>
        <v>0</v>
      </c>
      <c r="V39" s="95">
        <f>SUM(P39:U39)</f>
        <v>0</v>
      </c>
    </row>
    <row r="40" spans="1:25" ht="14.4" x14ac:dyDescent="0.3">
      <c r="A40" s="19" t="s">
        <v>386</v>
      </c>
      <c r="B40" s="64">
        <f t="shared" ref="B40:J40" si="9">B34+B38+B39</f>
        <v>0</v>
      </c>
      <c r="C40" s="64">
        <f t="shared" si="9"/>
        <v>0</v>
      </c>
      <c r="D40" s="64">
        <f t="shared" si="9"/>
        <v>0</v>
      </c>
      <c r="E40" s="64">
        <f t="shared" si="9"/>
        <v>0</v>
      </c>
      <c r="F40" s="64">
        <f t="shared" si="9"/>
        <v>0</v>
      </c>
      <c r="G40" s="64">
        <f t="shared" si="9"/>
        <v>0</v>
      </c>
      <c r="H40" s="64">
        <f t="shared" si="9"/>
        <v>0</v>
      </c>
      <c r="I40" s="64">
        <f t="shared" si="9"/>
        <v>0</v>
      </c>
      <c r="J40" s="64">
        <f t="shared" si="9"/>
        <v>0</v>
      </c>
      <c r="K40" s="64">
        <f>SUM(B40:J40)</f>
        <v>0</v>
      </c>
      <c r="L40" s="1"/>
    </row>
    <row r="41" spans="1:25" ht="14.4" x14ac:dyDescent="0.3">
      <c r="A41" s="19" t="s">
        <v>387</v>
      </c>
      <c r="B41" s="93">
        <f t="shared" ref="B41:I41" si="10">IF(B34=0,0,B40/B34)</f>
        <v>0</v>
      </c>
      <c r="C41" s="93">
        <f t="shared" si="10"/>
        <v>0</v>
      </c>
      <c r="D41" s="93">
        <f t="shared" si="10"/>
        <v>0</v>
      </c>
      <c r="E41" s="93">
        <f t="shared" si="10"/>
        <v>0</v>
      </c>
      <c r="F41" s="93">
        <f t="shared" si="10"/>
        <v>0</v>
      </c>
      <c r="G41" s="93">
        <f t="shared" si="10"/>
        <v>0</v>
      </c>
      <c r="H41" s="93">
        <f t="shared" si="10"/>
        <v>0</v>
      </c>
      <c r="I41" s="93">
        <f t="shared" si="10"/>
        <v>0</v>
      </c>
      <c r="J41" s="98"/>
      <c r="K41" s="98"/>
      <c r="L41" s="1"/>
      <c r="P41" s="13" t="s">
        <v>432</v>
      </c>
      <c r="T41" t="s">
        <v>433</v>
      </c>
    </row>
    <row r="42" spans="1:25" ht="14.4" x14ac:dyDescent="0.3">
      <c r="A42" s="106" t="s">
        <v>434</v>
      </c>
      <c r="O42" s="112" t="s">
        <v>435</v>
      </c>
      <c r="P42" s="113"/>
      <c r="Q42" s="112" t="s">
        <v>436</v>
      </c>
      <c r="R42" s="113"/>
      <c r="S42" s="114"/>
      <c r="T42" s="110"/>
    </row>
    <row r="43" spans="1:25" ht="14.4" x14ac:dyDescent="0.3">
      <c r="O43" s="112" t="s">
        <v>437</v>
      </c>
      <c r="P43" s="113"/>
      <c r="Q43" s="112" t="s">
        <v>438</v>
      </c>
      <c r="R43" s="113"/>
      <c r="S43" s="114"/>
      <c r="T43" s="114"/>
    </row>
    <row r="44" spans="1:25" ht="14.4" x14ac:dyDescent="0.3">
      <c r="A44" s="83" t="s">
        <v>404</v>
      </c>
      <c r="B44" s="70">
        <v>2028</v>
      </c>
      <c r="C44" s="70">
        <v>2029</v>
      </c>
      <c r="D44" s="70">
        <v>2030</v>
      </c>
      <c r="E44" s="70">
        <v>2031</v>
      </c>
      <c r="F44" s="70">
        <v>2032</v>
      </c>
      <c r="G44" s="70">
        <v>2033</v>
      </c>
      <c r="H44" s="70">
        <v>2034</v>
      </c>
      <c r="I44" s="70">
        <v>2035</v>
      </c>
      <c r="J44" s="70" t="s">
        <v>362</v>
      </c>
      <c r="K44" s="70" t="s">
        <v>319</v>
      </c>
      <c r="O44" s="112" t="s">
        <v>439</v>
      </c>
      <c r="P44" s="113"/>
      <c r="Q44" s="112" t="s">
        <v>440</v>
      </c>
      <c r="R44" s="113"/>
      <c r="S44" s="114"/>
      <c r="T44" s="114" t="s">
        <v>441</v>
      </c>
    </row>
    <row r="45" spans="1:25" ht="14.4" x14ac:dyDescent="0.3">
      <c r="A45" s="19" t="s">
        <v>442</v>
      </c>
      <c r="B45" s="50">
        <f t="shared" ref="B45:J45" si="11">B33+B40</f>
        <v>0</v>
      </c>
      <c r="C45" s="50">
        <f t="shared" si="11"/>
        <v>0</v>
      </c>
      <c r="D45" s="50">
        <f t="shared" si="11"/>
        <v>0</v>
      </c>
      <c r="E45" s="50">
        <f t="shared" si="11"/>
        <v>0</v>
      </c>
      <c r="F45" s="50">
        <f t="shared" si="11"/>
        <v>0</v>
      </c>
      <c r="G45" s="50">
        <f t="shared" si="11"/>
        <v>0</v>
      </c>
      <c r="H45" s="50">
        <f t="shared" si="11"/>
        <v>0</v>
      </c>
      <c r="I45" s="50">
        <f t="shared" si="11"/>
        <v>0</v>
      </c>
      <c r="J45" s="50">
        <f t="shared" si="11"/>
        <v>0</v>
      </c>
      <c r="K45" s="64">
        <f>SUM(B45:J45)</f>
        <v>0</v>
      </c>
    </row>
    <row r="46" spans="1:25" ht="14.4" x14ac:dyDescent="0.3">
      <c r="A46" s="19" t="s">
        <v>443</v>
      </c>
      <c r="B46" s="50">
        <f t="shared" ref="B46:J46" si="12">P30</f>
        <v>0</v>
      </c>
      <c r="C46" s="50">
        <f t="shared" si="12"/>
        <v>0</v>
      </c>
      <c r="D46" s="50">
        <f t="shared" si="12"/>
        <v>0</v>
      </c>
      <c r="E46" s="50">
        <f t="shared" si="12"/>
        <v>0</v>
      </c>
      <c r="F46" s="50">
        <f t="shared" si="12"/>
        <v>0</v>
      </c>
      <c r="G46" s="50">
        <f t="shared" si="12"/>
        <v>0</v>
      </c>
      <c r="H46" s="50">
        <f t="shared" si="12"/>
        <v>0</v>
      </c>
      <c r="I46" s="50">
        <f t="shared" si="12"/>
        <v>0</v>
      </c>
      <c r="J46" s="50">
        <f t="shared" si="12"/>
        <v>0</v>
      </c>
      <c r="K46" s="64">
        <f>SUM(B46:J46)</f>
        <v>0</v>
      </c>
      <c r="O46" s="83" t="s">
        <v>409</v>
      </c>
      <c r="P46" s="70">
        <v>2028</v>
      </c>
      <c r="Q46" s="70">
        <v>2029</v>
      </c>
      <c r="R46" s="70">
        <v>2030</v>
      </c>
      <c r="S46" s="70">
        <v>2031</v>
      </c>
      <c r="T46" s="70">
        <v>2032</v>
      </c>
      <c r="U46" s="70">
        <v>2033</v>
      </c>
      <c r="V46" s="70">
        <v>2034</v>
      </c>
      <c r="W46" s="70">
        <v>2035</v>
      </c>
      <c r="X46" s="70" t="s">
        <v>362</v>
      </c>
      <c r="Y46" s="70" t="s">
        <v>319</v>
      </c>
    </row>
    <row r="47" spans="1:25" ht="14.4" x14ac:dyDescent="0.3">
      <c r="A47" s="19" t="s">
        <v>444</v>
      </c>
      <c r="B47" s="50">
        <f t="shared" ref="B47:J47" si="13">B45-B46</f>
        <v>0</v>
      </c>
      <c r="C47" s="50">
        <f t="shared" si="13"/>
        <v>0</v>
      </c>
      <c r="D47" s="50">
        <f t="shared" si="13"/>
        <v>0</v>
      </c>
      <c r="E47" s="50">
        <f t="shared" si="13"/>
        <v>0</v>
      </c>
      <c r="F47" s="50">
        <f t="shared" si="13"/>
        <v>0</v>
      </c>
      <c r="G47" s="50">
        <f t="shared" si="13"/>
        <v>0</v>
      </c>
      <c r="H47" s="50">
        <f t="shared" si="13"/>
        <v>0</v>
      </c>
      <c r="I47" s="50">
        <f t="shared" si="13"/>
        <v>0</v>
      </c>
      <c r="J47" s="50">
        <f t="shared" si="13"/>
        <v>0</v>
      </c>
      <c r="K47" s="98"/>
      <c r="O47" s="113" t="s">
        <v>412</v>
      </c>
      <c r="P47" s="110"/>
      <c r="Q47" s="110">
        <f>$P$42*P$39</f>
        <v>0</v>
      </c>
      <c r="R47" s="110">
        <f>$P$42*(Q$39+R$39)</f>
        <v>0</v>
      </c>
      <c r="S47" s="110">
        <f>$P$42*(S$39+T$39)</f>
        <v>0</v>
      </c>
      <c r="T47" s="110">
        <f>$P$42*U$39</f>
        <v>0</v>
      </c>
      <c r="U47" s="110"/>
      <c r="V47" s="110"/>
      <c r="W47" s="110"/>
      <c r="X47" s="110"/>
      <c r="Y47" s="99">
        <f t="shared" ref="Y47:Y53" si="14">SUM(P47:X47)</f>
        <v>0</v>
      </c>
    </row>
    <row r="48" spans="1:25" ht="14.4" x14ac:dyDescent="0.3">
      <c r="A48" s="19" t="s">
        <v>445</v>
      </c>
      <c r="B48" s="50">
        <f>B47</f>
        <v>0</v>
      </c>
      <c r="C48" s="50">
        <f t="shared" ref="C48:J48" si="15">B48+C47</f>
        <v>0</v>
      </c>
      <c r="D48" s="50">
        <f t="shared" si="15"/>
        <v>0</v>
      </c>
      <c r="E48" s="50">
        <f t="shared" si="15"/>
        <v>0</v>
      </c>
      <c r="F48" s="50">
        <f t="shared" si="15"/>
        <v>0</v>
      </c>
      <c r="G48" s="50">
        <f t="shared" si="15"/>
        <v>0</v>
      </c>
      <c r="H48" s="50">
        <f t="shared" si="15"/>
        <v>0</v>
      </c>
      <c r="I48" s="50">
        <f t="shared" si="15"/>
        <v>0</v>
      </c>
      <c r="J48" s="50">
        <f t="shared" si="15"/>
        <v>0</v>
      </c>
      <c r="K48" s="98"/>
      <c r="O48" s="113" t="s">
        <v>413</v>
      </c>
      <c r="P48" s="110"/>
      <c r="Q48" s="110"/>
      <c r="R48" s="110">
        <f>$P$43*P$39</f>
        <v>0</v>
      </c>
      <c r="S48" s="110">
        <f>$P$43*(Q$39+R$39)</f>
        <v>0</v>
      </c>
      <c r="T48" s="110">
        <f>$P$43*(S$39+T$39)</f>
        <v>0</v>
      </c>
      <c r="U48" s="110">
        <f>$P$43*U$39</f>
        <v>0</v>
      </c>
      <c r="V48" s="110"/>
      <c r="W48" s="110"/>
      <c r="X48" s="110"/>
      <c r="Y48" s="99">
        <f t="shared" si="14"/>
        <v>0</v>
      </c>
    </row>
    <row r="49" spans="1:25" ht="14.4" x14ac:dyDescent="0.3">
      <c r="O49" s="113" t="s">
        <v>414</v>
      </c>
      <c r="P49" s="110"/>
      <c r="Q49" s="110"/>
      <c r="R49" s="110"/>
      <c r="S49" s="110">
        <f>$P$44*P$39</f>
        <v>0</v>
      </c>
      <c r="T49" s="110">
        <f>$P$44*(Q$39+R$39)</f>
        <v>0</v>
      </c>
      <c r="U49" s="110">
        <f>$P$44*(S$39+T$39)</f>
        <v>0</v>
      </c>
      <c r="V49" s="110">
        <f>$P$44*U$39</f>
        <v>0</v>
      </c>
      <c r="W49" s="110"/>
      <c r="X49" s="110"/>
      <c r="Y49" s="99">
        <f t="shared" si="14"/>
        <v>0</v>
      </c>
    </row>
    <row r="50" spans="1:25" ht="14.4" x14ac:dyDescent="0.3">
      <c r="O50" s="113" t="s">
        <v>415</v>
      </c>
      <c r="P50" s="110"/>
      <c r="Q50" s="110"/>
      <c r="R50" s="110"/>
      <c r="S50" s="110"/>
      <c r="T50" s="110"/>
      <c r="U50" s="110"/>
      <c r="V50" s="110"/>
      <c r="W50" s="110"/>
      <c r="X50" s="110"/>
      <c r="Y50" s="99">
        <f t="shared" si="14"/>
        <v>0</v>
      </c>
    </row>
    <row r="51" spans="1:25" ht="14.4" x14ac:dyDescent="0.3">
      <c r="A51" s="101" t="s">
        <v>446</v>
      </c>
      <c r="B51" s="70">
        <v>2028</v>
      </c>
      <c r="C51" s="70">
        <v>2029</v>
      </c>
      <c r="D51" s="70">
        <v>2030</v>
      </c>
      <c r="E51" s="70">
        <v>2031</v>
      </c>
      <c r="F51" s="70">
        <v>2032</v>
      </c>
      <c r="G51" s="70">
        <v>2033</v>
      </c>
      <c r="H51" s="70">
        <v>2034</v>
      </c>
      <c r="I51" s="70">
        <v>2035</v>
      </c>
      <c r="J51" s="70" t="s">
        <v>362</v>
      </c>
      <c r="O51" s="113" t="s">
        <v>416</v>
      </c>
      <c r="P51" s="110"/>
      <c r="Q51" s="110"/>
      <c r="R51" s="110"/>
      <c r="S51" s="110"/>
      <c r="T51" s="110"/>
      <c r="U51" s="110"/>
      <c r="V51" s="110"/>
      <c r="W51" s="110"/>
      <c r="X51" s="110"/>
      <c r="Y51" s="99">
        <f t="shared" si="14"/>
        <v>0</v>
      </c>
    </row>
    <row r="52" spans="1:25" ht="14.4" x14ac:dyDescent="0.3">
      <c r="A52" s="19" t="s">
        <v>405</v>
      </c>
      <c r="B52" s="50">
        <f>B45</f>
        <v>0</v>
      </c>
      <c r="C52" s="50">
        <f t="shared" ref="C52:J53" si="16">B52+C45</f>
        <v>0</v>
      </c>
      <c r="D52" s="50">
        <f t="shared" si="16"/>
        <v>0</v>
      </c>
      <c r="E52" s="50">
        <f t="shared" si="16"/>
        <v>0</v>
      </c>
      <c r="F52" s="50">
        <f t="shared" si="16"/>
        <v>0</v>
      </c>
      <c r="G52" s="50">
        <f t="shared" si="16"/>
        <v>0</v>
      </c>
      <c r="H52" s="50">
        <f t="shared" si="16"/>
        <v>0</v>
      </c>
      <c r="I52" s="50">
        <f t="shared" si="16"/>
        <v>0</v>
      </c>
      <c r="J52" s="50">
        <f t="shared" si="16"/>
        <v>0</v>
      </c>
      <c r="K52" s="1"/>
      <c r="O52" s="113" t="s">
        <v>417</v>
      </c>
      <c r="P52" s="110"/>
      <c r="Q52" s="110"/>
      <c r="R52" s="110"/>
      <c r="S52" s="110"/>
      <c r="T52" s="110"/>
      <c r="U52" s="110"/>
      <c r="V52" s="110"/>
      <c r="W52" s="110"/>
      <c r="X52" s="110"/>
      <c r="Y52" s="99">
        <f t="shared" si="14"/>
        <v>0</v>
      </c>
    </row>
    <row r="53" spans="1:25" ht="14.4" x14ac:dyDescent="0.3">
      <c r="A53" s="19" t="s">
        <v>406</v>
      </c>
      <c r="B53" s="50">
        <f>B46</f>
        <v>0</v>
      </c>
      <c r="C53" s="50">
        <f t="shared" si="16"/>
        <v>0</v>
      </c>
      <c r="D53" s="50">
        <f t="shared" si="16"/>
        <v>0</v>
      </c>
      <c r="E53" s="50">
        <f t="shared" si="16"/>
        <v>0</v>
      </c>
      <c r="F53" s="50">
        <f t="shared" si="16"/>
        <v>0</v>
      </c>
      <c r="G53" s="50">
        <f t="shared" si="16"/>
        <v>0</v>
      </c>
      <c r="H53" s="50">
        <f t="shared" si="16"/>
        <v>0</v>
      </c>
      <c r="I53" s="50">
        <f t="shared" si="16"/>
        <v>0</v>
      </c>
      <c r="J53" s="50">
        <f t="shared" si="16"/>
        <v>0</v>
      </c>
      <c r="O53" s="19" t="s">
        <v>452</v>
      </c>
      <c r="P53" s="99">
        <f t="shared" ref="P53:X53" si="17">SUM(P47:P52)</f>
        <v>0</v>
      </c>
      <c r="Q53" s="99">
        <f t="shared" si="17"/>
        <v>0</v>
      </c>
      <c r="R53" s="99">
        <f t="shared" si="17"/>
        <v>0</v>
      </c>
      <c r="S53" s="99">
        <f t="shared" si="17"/>
        <v>0</v>
      </c>
      <c r="T53" s="99">
        <f t="shared" si="17"/>
        <v>0</v>
      </c>
      <c r="U53" s="99">
        <f t="shared" si="17"/>
        <v>0</v>
      </c>
      <c r="V53" s="99">
        <f t="shared" si="17"/>
        <v>0</v>
      </c>
      <c r="W53" s="99">
        <f t="shared" si="17"/>
        <v>0</v>
      </c>
      <c r="X53" s="99">
        <f t="shared" si="17"/>
        <v>0</v>
      </c>
      <c r="Y53" s="99">
        <f t="shared" si="14"/>
        <v>0</v>
      </c>
    </row>
    <row r="62" spans="1:25" x14ac:dyDescent="0.3">
      <c r="T62" s="81"/>
    </row>
    <row r="63" spans="1:25" x14ac:dyDescent="0.3">
      <c r="A63" s="82"/>
    </row>
    <row r="64" spans="1:25" x14ac:dyDescent="0.3">
      <c r="A64" s="86"/>
    </row>
    <row r="65" spans="1:1" x14ac:dyDescent="0.3">
      <c r="A65" s="14"/>
    </row>
    <row r="66" spans="1:1" x14ac:dyDescent="0.3">
      <c r="A66" s="13"/>
    </row>
    <row r="67" spans="1:1" x14ac:dyDescent="0.3">
      <c r="A67" s="13"/>
    </row>
  </sheetData>
  <sheetProtection selectLockedCells="1"/>
  <mergeCells count="5">
    <mergeCell ref="A1:K1"/>
    <mergeCell ref="A2:K2"/>
    <mergeCell ref="O20:Y20"/>
    <mergeCell ref="O34:Y34"/>
    <mergeCell ref="O36:V36"/>
  </mergeCells>
  <conditionalFormatting sqref="A1:Y67">
    <cfRule type="expression" dxfId="11" priority="100">
      <formula>ISERROR(A1)</formula>
    </cfRule>
  </conditionalFormatting>
  <conditionalFormatting sqref="B36:I36">
    <cfRule type="cellIs" dxfId="10" priority="1" operator="greaterThan">
      <formula>$B$19</formula>
    </cfRule>
  </conditionalFormatting>
  <conditionalFormatting sqref="K30">
    <cfRule type="cellIs" dxfId="9" priority="2" operator="equal">
      <formula>$B$5</formula>
    </cfRule>
  </conditionalFormatting>
  <dataValidations count="5">
    <dataValidation type="decimal" operator="greaterThanOrEqual" allowBlank="1" showInputMessage="1" showErrorMessage="1" errorTitle="Amount required" error="Enter an amount in EUR, 0 or more." promptTitle="Average project budget (EUR)" prompt="Enter the average EU budget of a project in EUR." sqref="T42" xr:uid="{8BA672A0-66C1-46C4-8D8C-DF7A08658A47}">
      <formula1>0</formula1>
    </dataValidation>
    <dataValidation type="decimal" operator="greaterThanOrEqual" allowBlank="1" showInputMessage="1" showErrorMessage="1" errorTitle="Number required" error="Enter a number, 0 or more." promptTitle="Number of projects per call" prompt="Enter the number of projects expected per call." sqref="P42:P44 R42:R44" xr:uid="{8D14D1D8-C256-43C9-BFBD-DCEBE51D36EC}">
      <formula1>0</formula1>
    </dataValidation>
    <dataValidation type="decimal" allowBlank="1" showInputMessage="1" showErrorMessage="1" errorTitle="Percentage required" error="Enter a percentage between 0% and 100%." promptTitle="Spending profile (%)" prompt="Enter the share of the project budget spent in each half year of a regular 36 month project. The six values must add up to 100%." sqref="P38:U38" xr:uid="{078D780A-86CA-42F2-A93B-A6D215FBC677}">
      <formula1>0</formula1>
      <formula2>1</formula2>
    </dataValidation>
    <dataValidation type="decimal" operator="greaterThanOrEqual" allowBlank="1" showInputMessage="1" showErrorMessage="1" errorTitle="Amount required" error="Enter an amount in EUR, 0 or more." promptTitle="Payments to projects (EUR)" prompt="Enter the payments to projects per call and year in EUR (2028 to 2035 and after closure), for example copied from the mini calculator on the right. They feed the outflows of this sheet." sqref="P24:X29" xr:uid="{BD5A4335-F31B-425E-82B2-89820926D62D}">
      <formula1>0</formula1>
    </dataValidation>
    <dataValidation allowBlank="1" showInputMessage="1" promptTitle="Call or project group" prompt="Optional. Name of the call or group of projects. The name is shown in the table on the left." sqref="O24:O29" xr:uid="{00000000-0002-0000-0D00-000004000000}"/>
  </dataValidations>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DFCDB-FE5F-486D-94A9-E199B75BAE4B}">
  <dimension ref="A1:Y67"/>
  <sheetViews>
    <sheetView topLeftCell="A18" zoomScaleNormal="100" workbookViewId="0">
      <selection activeCell="N57" sqref="N57"/>
    </sheetView>
  </sheetViews>
  <sheetFormatPr defaultRowHeight="15.05" x14ac:dyDescent="0.3"/>
  <cols>
    <col min="1" max="1" width="44" customWidth="1"/>
    <col min="2" max="2" width="14.5546875" customWidth="1"/>
    <col min="3" max="3" width="13.5546875" customWidth="1"/>
    <col min="4" max="4" width="13.109375" customWidth="1"/>
    <col min="5" max="5" width="14.88671875" customWidth="1"/>
    <col min="6" max="6" width="14" customWidth="1"/>
    <col min="7" max="7" width="15.109375" customWidth="1"/>
    <col min="8" max="8" width="13.44140625" customWidth="1"/>
    <col min="9" max="9" width="14.44140625" customWidth="1"/>
    <col min="10" max="10" width="14.88671875" customWidth="1"/>
    <col min="11" max="11" width="14.109375" customWidth="1"/>
    <col min="15" max="15" width="19.5546875" bestFit="1" customWidth="1"/>
    <col min="20" max="20" width="14" bestFit="1" customWidth="1"/>
    <col min="25" max="25" width="10.109375" bestFit="1" customWidth="1"/>
    <col min="26" max="26" width="13.5546875" bestFit="1" customWidth="1"/>
    <col min="27" max="27" width="10.109375" bestFit="1" customWidth="1"/>
  </cols>
  <sheetData>
    <row r="1" spans="1:14" ht="18" x14ac:dyDescent="0.3">
      <c r="A1" s="157" t="s">
        <v>403</v>
      </c>
      <c r="B1" s="157"/>
      <c r="C1" s="157"/>
      <c r="D1" s="157"/>
      <c r="E1" s="157"/>
      <c r="F1" s="157"/>
      <c r="G1" s="157"/>
      <c r="H1" s="157"/>
      <c r="I1" s="157"/>
      <c r="J1" s="157"/>
      <c r="K1" s="157"/>
    </row>
    <row r="2" spans="1:14" ht="18" x14ac:dyDescent="0.3">
      <c r="A2" s="157" t="s">
        <v>407</v>
      </c>
      <c r="B2" s="157"/>
      <c r="C2" s="157"/>
      <c r="D2" s="157"/>
      <c r="E2" s="157"/>
      <c r="F2" s="157"/>
      <c r="G2" s="157"/>
      <c r="H2" s="157"/>
      <c r="I2" s="157"/>
      <c r="J2" s="157"/>
      <c r="K2" s="157"/>
    </row>
    <row r="3" spans="1:14" ht="14.4" x14ac:dyDescent="0.3">
      <c r="A3" s="5"/>
    </row>
    <row r="4" spans="1:14" ht="14.4" x14ac:dyDescent="0.3">
      <c r="B4" s="6" t="s">
        <v>408</v>
      </c>
      <c r="C4" s="6" t="s">
        <v>297</v>
      </c>
    </row>
    <row r="5" spans="1:14" ht="14.4" x14ac:dyDescent="0.3">
      <c r="A5" s="6" t="str">
        <f>'pay out values'!B34</f>
        <v>Measure 8</v>
      </c>
      <c r="B5" s="50">
        <f>'pay out values'!D34</f>
        <v>0</v>
      </c>
      <c r="C5" s="102">
        <f>'pay out values'!C34</f>
        <v>0</v>
      </c>
      <c r="K5" s="3"/>
    </row>
    <row r="6" spans="1:14" ht="14.4" x14ac:dyDescent="0.3">
      <c r="C6" s="3"/>
      <c r="D6" s="3"/>
      <c r="E6" s="87"/>
      <c r="F6" s="3"/>
      <c r="K6" s="3"/>
      <c r="N6" s="13"/>
    </row>
    <row r="7" spans="1:14" x14ac:dyDescent="0.3">
      <c r="A7" s="69" t="s">
        <v>368</v>
      </c>
      <c r="B7" s="83" t="s">
        <v>369</v>
      </c>
      <c r="C7" s="84" t="s">
        <v>370</v>
      </c>
      <c r="D7" s="3"/>
      <c r="E7" s="87"/>
      <c r="F7" s="3"/>
      <c r="K7" s="3"/>
      <c r="N7" s="13"/>
    </row>
    <row r="8" spans="1:14" ht="14.4" x14ac:dyDescent="0.3">
      <c r="A8" s="19" t="s">
        <v>371</v>
      </c>
      <c r="B8" s="50">
        <f>$B$5*C8</f>
        <v>0</v>
      </c>
      <c r="C8" s="102">
        <f>'N+1 '!J15</f>
        <v>0.12</v>
      </c>
      <c r="D8" s="3"/>
      <c r="E8" s="87"/>
      <c r="F8" s="3"/>
      <c r="K8" s="3"/>
    </row>
    <row r="9" spans="1:14" ht="14.4" x14ac:dyDescent="0.3">
      <c r="A9" s="19" t="s">
        <v>372</v>
      </c>
      <c r="B9" s="50">
        <f>$B$5*C9</f>
        <v>0</v>
      </c>
      <c r="C9" s="102">
        <f>1-C8</f>
        <v>0.88</v>
      </c>
      <c r="D9" s="3"/>
      <c r="E9" s="87"/>
      <c r="F9" s="3"/>
      <c r="K9" s="3"/>
    </row>
    <row r="10" spans="1:14" x14ac:dyDescent="0.3">
      <c r="A10" s="19" t="s">
        <v>286</v>
      </c>
      <c r="B10" s="50">
        <f>SUM(B8:B9)</f>
        <v>0</v>
      </c>
      <c r="C10" s="102">
        <f>SUM(C8:C9)</f>
        <v>1</v>
      </c>
      <c r="D10" s="3"/>
      <c r="E10" s="87"/>
      <c r="F10" s="3"/>
      <c r="K10" s="3"/>
    </row>
    <row r="11" spans="1:14" ht="14.4" x14ac:dyDescent="0.3">
      <c r="D11" s="3"/>
      <c r="E11" s="87"/>
      <c r="F11" s="3"/>
      <c r="K11" s="3"/>
    </row>
    <row r="12" spans="1:14" x14ac:dyDescent="0.3">
      <c r="A12" s="69" t="s">
        <v>373</v>
      </c>
      <c r="B12" s="83" t="s">
        <v>369</v>
      </c>
      <c r="C12" s="84" t="s">
        <v>370</v>
      </c>
      <c r="D12" s="3"/>
      <c r="E12" s="87"/>
      <c r="F12" s="3"/>
      <c r="K12" s="3"/>
    </row>
    <row r="13" spans="1:14" ht="14.4" x14ac:dyDescent="0.3">
      <c r="A13" s="19" t="s">
        <v>371</v>
      </c>
      <c r="B13" s="50">
        <f>$B$5*C13</f>
        <v>0</v>
      </c>
      <c r="C13" s="102">
        <f>C8</f>
        <v>0.12</v>
      </c>
      <c r="D13" s="3"/>
      <c r="E13" s="87"/>
      <c r="F13" s="3"/>
      <c r="K13" s="3"/>
    </row>
    <row r="14" spans="1:14" ht="14.4" x14ac:dyDescent="0.3">
      <c r="A14" s="19" t="s">
        <v>372</v>
      </c>
      <c r="B14" s="50">
        <f>$B$5*C14</f>
        <v>0</v>
      </c>
      <c r="C14" s="102">
        <f>C19-C8</f>
        <v>0.83</v>
      </c>
      <c r="D14" s="3"/>
      <c r="E14" s="87"/>
      <c r="F14" s="3"/>
      <c r="K14" s="3"/>
    </row>
    <row r="15" spans="1:14" ht="14.4" x14ac:dyDescent="0.3">
      <c r="A15" s="19" t="s">
        <v>375</v>
      </c>
      <c r="B15" s="50">
        <f>$B$5*C15</f>
        <v>0</v>
      </c>
      <c r="C15" s="102">
        <f>1-C19</f>
        <v>5.0000000000000044E-2</v>
      </c>
      <c r="D15" s="3"/>
      <c r="E15" s="87"/>
      <c r="K15" s="3"/>
      <c r="M15" s="3"/>
    </row>
    <row r="16" spans="1:14" x14ac:dyDescent="0.3">
      <c r="A16" s="19" t="s">
        <v>286</v>
      </c>
      <c r="B16" s="50">
        <f>SUM(B13:B15)</f>
        <v>0</v>
      </c>
      <c r="C16" s="102">
        <f>SUM(C13:C15)</f>
        <v>1</v>
      </c>
      <c r="D16" s="3"/>
      <c r="E16" s="87"/>
      <c r="F16" s="3"/>
      <c r="K16" s="3"/>
    </row>
    <row r="17" spans="1:25" ht="14.4" x14ac:dyDescent="0.3">
      <c r="E17" s="87"/>
      <c r="F17" s="3"/>
      <c r="K17" s="3"/>
      <c r="N17" s="13"/>
    </row>
    <row r="18" spans="1:25" x14ac:dyDescent="0.3">
      <c r="A18" s="83" t="s">
        <v>376</v>
      </c>
      <c r="B18" s="83" t="s">
        <v>369</v>
      </c>
      <c r="C18" s="84" t="s">
        <v>370</v>
      </c>
      <c r="D18" s="70" t="s">
        <v>377</v>
      </c>
      <c r="E18" s="87"/>
      <c r="F18" s="3"/>
      <c r="K18" s="3"/>
      <c r="N18" s="13"/>
    </row>
    <row r="19" spans="1:25" ht="14.4" x14ac:dyDescent="0.3">
      <c r="A19" s="19" t="str">
        <f>"Payment ceiling at "&amp;TEXT(C19,"0%")</f>
        <v>Payment ceiling at 95%</v>
      </c>
      <c r="B19" s="50">
        <f>B5*C19</f>
        <v>0</v>
      </c>
      <c r="C19" s="103">
        <f>Inflows!C22</f>
        <v>0.95</v>
      </c>
      <c r="D19" s="50">
        <f>B5-B19</f>
        <v>0</v>
      </c>
      <c r="E19" s="87"/>
      <c r="F19" s="3"/>
      <c r="K19" s="3"/>
      <c r="N19" s="13"/>
    </row>
    <row r="20" spans="1:25" ht="18" x14ac:dyDescent="0.3">
      <c r="A20" s="19" t="s">
        <v>379</v>
      </c>
      <c r="B20" s="98"/>
      <c r="C20" s="103">
        <f>C8</f>
        <v>0.12</v>
      </c>
      <c r="D20" s="50">
        <f>B8</f>
        <v>0</v>
      </c>
      <c r="E20" s="87"/>
      <c r="K20" s="3"/>
      <c r="N20" s="13"/>
      <c r="O20" s="157" t="s">
        <v>409</v>
      </c>
      <c r="P20" s="157"/>
      <c r="Q20" s="157"/>
      <c r="R20" s="157"/>
      <c r="S20" s="157"/>
      <c r="T20" s="157"/>
      <c r="U20" s="157"/>
      <c r="V20" s="157"/>
      <c r="W20" s="157"/>
      <c r="X20" s="157"/>
      <c r="Y20" s="157"/>
    </row>
    <row r="21" spans="1:25" ht="14.4" x14ac:dyDescent="0.3">
      <c r="A21" s="19" t="s">
        <v>380</v>
      </c>
      <c r="B21" s="50">
        <f>B14</f>
        <v>0</v>
      </c>
      <c r="C21" s="103">
        <f>C19-C20</f>
        <v>0.83</v>
      </c>
      <c r="D21" s="50">
        <f>SUM(D19:D20)</f>
        <v>0</v>
      </c>
      <c r="E21" s="87"/>
      <c r="F21" s="3"/>
      <c r="K21" s="3"/>
      <c r="N21" s="13"/>
    </row>
    <row r="22" spans="1:25" ht="14.4" x14ac:dyDescent="0.3">
      <c r="K22" s="3"/>
      <c r="M22" s="3"/>
      <c r="O22" t="s">
        <v>410</v>
      </c>
    </row>
    <row r="23" spans="1:25" ht="14.4" x14ac:dyDescent="0.3">
      <c r="A23" s="83" t="s">
        <v>411</v>
      </c>
      <c r="B23" s="70">
        <v>2028</v>
      </c>
      <c r="C23" s="70">
        <v>2029</v>
      </c>
      <c r="D23" s="70">
        <v>2030</v>
      </c>
      <c r="E23" s="70">
        <v>2031</v>
      </c>
      <c r="F23" s="70">
        <v>2032</v>
      </c>
      <c r="G23" s="70">
        <v>2033</v>
      </c>
      <c r="H23" s="70">
        <v>2034</v>
      </c>
      <c r="I23" s="70">
        <v>2035</v>
      </c>
      <c r="J23" s="70" t="s">
        <v>362</v>
      </c>
      <c r="K23" s="70" t="s">
        <v>319</v>
      </c>
      <c r="O23" s="83" t="s">
        <v>409</v>
      </c>
      <c r="P23" s="70">
        <v>2028</v>
      </c>
      <c r="Q23" s="70">
        <v>2029</v>
      </c>
      <c r="R23" s="70">
        <v>2030</v>
      </c>
      <c r="S23" s="70">
        <v>2031</v>
      </c>
      <c r="T23" s="70">
        <v>2032</v>
      </c>
      <c r="U23" s="70">
        <v>2033</v>
      </c>
      <c r="V23" s="70">
        <v>2034</v>
      </c>
      <c r="W23" s="70">
        <v>2035</v>
      </c>
      <c r="X23" s="70" t="s">
        <v>362</v>
      </c>
      <c r="Y23" s="70" t="s">
        <v>319</v>
      </c>
    </row>
    <row r="24" spans="1:25" ht="14.4" x14ac:dyDescent="0.3">
      <c r="A24" s="19" t="str">
        <f t="shared" ref="A24:J29" si="0">O24</f>
        <v>Call 1 projects</v>
      </c>
      <c r="B24" s="50">
        <f t="shared" si="0"/>
        <v>0</v>
      </c>
      <c r="C24" s="50">
        <f t="shared" si="0"/>
        <v>0</v>
      </c>
      <c r="D24" s="50">
        <f t="shared" si="0"/>
        <v>0</v>
      </c>
      <c r="E24" s="50">
        <f t="shared" si="0"/>
        <v>0</v>
      </c>
      <c r="F24" s="50">
        <f t="shared" si="0"/>
        <v>0</v>
      </c>
      <c r="G24" s="50">
        <f t="shared" si="0"/>
        <v>0</v>
      </c>
      <c r="H24" s="50">
        <f t="shared" si="0"/>
        <v>0</v>
      </c>
      <c r="I24" s="50">
        <f t="shared" si="0"/>
        <v>0</v>
      </c>
      <c r="J24" s="50">
        <f t="shared" si="0"/>
        <v>0</v>
      </c>
      <c r="K24" s="64">
        <f t="shared" ref="K24:K30" si="1">SUM(B24:J24)</f>
        <v>0</v>
      </c>
      <c r="O24" s="109" t="s">
        <v>412</v>
      </c>
      <c r="P24" s="110"/>
      <c r="Q24" s="110"/>
      <c r="R24" s="110"/>
      <c r="S24" s="110"/>
      <c r="T24" s="110"/>
      <c r="U24" s="110"/>
      <c r="V24" s="110"/>
      <c r="W24" s="110"/>
      <c r="X24" s="110"/>
      <c r="Y24" s="99">
        <f t="shared" ref="Y24:Y30" si="2">SUM(P24:X24)</f>
        <v>0</v>
      </c>
    </row>
    <row r="25" spans="1:25" ht="14.4" x14ac:dyDescent="0.3">
      <c r="A25" s="19" t="str">
        <f t="shared" si="0"/>
        <v>Call 2 projects</v>
      </c>
      <c r="B25" s="50">
        <f t="shared" si="0"/>
        <v>0</v>
      </c>
      <c r="C25" s="50">
        <f t="shared" si="0"/>
        <v>0</v>
      </c>
      <c r="D25" s="50">
        <f t="shared" si="0"/>
        <v>0</v>
      </c>
      <c r="E25" s="50">
        <f t="shared" si="0"/>
        <v>0</v>
      </c>
      <c r="F25" s="50">
        <f t="shared" si="0"/>
        <v>0</v>
      </c>
      <c r="G25" s="50">
        <f t="shared" si="0"/>
        <v>0</v>
      </c>
      <c r="H25" s="50">
        <f t="shared" si="0"/>
        <v>0</v>
      </c>
      <c r="I25" s="50">
        <f t="shared" si="0"/>
        <v>0</v>
      </c>
      <c r="J25" s="50">
        <f t="shared" si="0"/>
        <v>0</v>
      </c>
      <c r="K25" s="64">
        <f t="shared" si="1"/>
        <v>0</v>
      </c>
      <c r="O25" s="109" t="s">
        <v>413</v>
      </c>
      <c r="P25" s="110"/>
      <c r="Q25" s="110"/>
      <c r="R25" s="110"/>
      <c r="S25" s="110"/>
      <c r="T25" s="110"/>
      <c r="U25" s="110"/>
      <c r="V25" s="110"/>
      <c r="W25" s="110"/>
      <c r="X25" s="110"/>
      <c r="Y25" s="99">
        <f t="shared" si="2"/>
        <v>0</v>
      </c>
    </row>
    <row r="26" spans="1:25" ht="14.4" x14ac:dyDescent="0.3">
      <c r="A26" s="19" t="str">
        <f t="shared" si="0"/>
        <v>Call 3 projects</v>
      </c>
      <c r="B26" s="50">
        <f t="shared" si="0"/>
        <v>0</v>
      </c>
      <c r="C26" s="50">
        <f t="shared" si="0"/>
        <v>0</v>
      </c>
      <c r="D26" s="50">
        <f t="shared" si="0"/>
        <v>0</v>
      </c>
      <c r="E26" s="50">
        <f t="shared" si="0"/>
        <v>0</v>
      </c>
      <c r="F26" s="50">
        <f t="shared" si="0"/>
        <v>0</v>
      </c>
      <c r="G26" s="50">
        <f t="shared" si="0"/>
        <v>0</v>
      </c>
      <c r="H26" s="50">
        <f t="shared" si="0"/>
        <v>0</v>
      </c>
      <c r="I26" s="50">
        <f t="shared" si="0"/>
        <v>0</v>
      </c>
      <c r="J26" s="50">
        <f t="shared" si="0"/>
        <v>0</v>
      </c>
      <c r="K26" s="64">
        <f t="shared" si="1"/>
        <v>0</v>
      </c>
      <c r="O26" s="109" t="s">
        <v>414</v>
      </c>
      <c r="P26" s="110"/>
      <c r="Q26" s="110"/>
      <c r="R26" s="110"/>
      <c r="S26" s="110"/>
      <c r="T26" s="110"/>
      <c r="U26" s="110"/>
      <c r="V26" s="110"/>
      <c r="W26" s="110"/>
      <c r="X26" s="110"/>
      <c r="Y26" s="99">
        <f t="shared" si="2"/>
        <v>0</v>
      </c>
    </row>
    <row r="27" spans="1:25" ht="14.4" x14ac:dyDescent="0.3">
      <c r="A27" s="19" t="str">
        <f t="shared" si="0"/>
        <v>Call 4  projects</v>
      </c>
      <c r="B27" s="50">
        <f t="shared" si="0"/>
        <v>0</v>
      </c>
      <c r="C27" s="50">
        <f t="shared" si="0"/>
        <v>0</v>
      </c>
      <c r="D27" s="50">
        <f t="shared" si="0"/>
        <v>0</v>
      </c>
      <c r="E27" s="50">
        <f t="shared" si="0"/>
        <v>0</v>
      </c>
      <c r="F27" s="50">
        <f t="shared" si="0"/>
        <v>0</v>
      </c>
      <c r="G27" s="50">
        <f t="shared" si="0"/>
        <v>0</v>
      </c>
      <c r="H27" s="50">
        <f t="shared" si="0"/>
        <v>0</v>
      </c>
      <c r="I27" s="50">
        <f t="shared" si="0"/>
        <v>0</v>
      </c>
      <c r="J27" s="50">
        <f t="shared" si="0"/>
        <v>0</v>
      </c>
      <c r="K27" s="64">
        <f t="shared" si="1"/>
        <v>0</v>
      </c>
      <c r="O27" s="109" t="s">
        <v>415</v>
      </c>
      <c r="P27" s="110"/>
      <c r="Q27" s="110"/>
      <c r="R27" s="110"/>
      <c r="S27" s="110"/>
      <c r="T27" s="110"/>
      <c r="U27" s="110"/>
      <c r="V27" s="110"/>
      <c r="W27" s="110"/>
      <c r="X27" s="110"/>
      <c r="Y27" s="99">
        <f t="shared" si="2"/>
        <v>0</v>
      </c>
    </row>
    <row r="28" spans="1:25" ht="14.4" x14ac:dyDescent="0.3">
      <c r="A28" s="19" t="str">
        <f t="shared" si="0"/>
        <v>Call 5  projects</v>
      </c>
      <c r="B28" s="50">
        <f t="shared" si="0"/>
        <v>0</v>
      </c>
      <c r="C28" s="50">
        <f t="shared" si="0"/>
        <v>0</v>
      </c>
      <c r="D28" s="50">
        <f t="shared" si="0"/>
        <v>0</v>
      </c>
      <c r="E28" s="50">
        <f t="shared" si="0"/>
        <v>0</v>
      </c>
      <c r="F28" s="50">
        <f t="shared" si="0"/>
        <v>0</v>
      </c>
      <c r="G28" s="50">
        <f t="shared" si="0"/>
        <v>0</v>
      </c>
      <c r="H28" s="50">
        <f t="shared" si="0"/>
        <v>0</v>
      </c>
      <c r="I28" s="50">
        <f t="shared" si="0"/>
        <v>0</v>
      </c>
      <c r="J28" s="50">
        <f t="shared" si="0"/>
        <v>0</v>
      </c>
      <c r="K28" s="64">
        <f t="shared" si="1"/>
        <v>0</v>
      </c>
      <c r="O28" s="109" t="s">
        <v>416</v>
      </c>
      <c r="P28" s="110"/>
      <c r="Q28" s="110"/>
      <c r="R28" s="110"/>
      <c r="S28" s="110"/>
      <c r="T28" s="110"/>
      <c r="U28" s="110"/>
      <c r="V28" s="110"/>
      <c r="W28" s="110"/>
      <c r="X28" s="110"/>
      <c r="Y28" s="99">
        <f t="shared" si="2"/>
        <v>0</v>
      </c>
    </row>
    <row r="29" spans="1:25" ht="14.4" x14ac:dyDescent="0.3">
      <c r="A29" s="19" t="str">
        <f t="shared" si="0"/>
        <v>Call 6 projects</v>
      </c>
      <c r="B29" s="50">
        <f t="shared" si="0"/>
        <v>0</v>
      </c>
      <c r="C29" s="50">
        <f t="shared" si="0"/>
        <v>0</v>
      </c>
      <c r="D29" s="50">
        <f t="shared" si="0"/>
        <v>0</v>
      </c>
      <c r="E29" s="50">
        <f t="shared" si="0"/>
        <v>0</v>
      </c>
      <c r="F29" s="50">
        <f t="shared" si="0"/>
        <v>0</v>
      </c>
      <c r="G29" s="50">
        <f t="shared" si="0"/>
        <v>0</v>
      </c>
      <c r="H29" s="50">
        <f t="shared" si="0"/>
        <v>0</v>
      </c>
      <c r="I29" s="50">
        <f t="shared" si="0"/>
        <v>0</v>
      </c>
      <c r="J29" s="50">
        <f t="shared" si="0"/>
        <v>0</v>
      </c>
      <c r="K29" s="64">
        <f t="shared" si="1"/>
        <v>0</v>
      </c>
      <c r="O29" s="109" t="s">
        <v>417</v>
      </c>
      <c r="P29" s="110"/>
      <c r="Q29" s="110"/>
      <c r="R29" s="110"/>
      <c r="S29" s="110"/>
      <c r="T29" s="110"/>
      <c r="U29" s="110"/>
      <c r="V29" s="110"/>
      <c r="W29" s="110"/>
      <c r="X29" s="110"/>
      <c r="Y29" s="99">
        <f t="shared" si="2"/>
        <v>0</v>
      </c>
    </row>
    <row r="30" spans="1:25" ht="14.4" x14ac:dyDescent="0.3">
      <c r="A30" s="19" t="s">
        <v>453</v>
      </c>
      <c r="B30" s="50">
        <f t="shared" ref="B30:J30" si="3">SUM(B24:B29)</f>
        <v>0</v>
      </c>
      <c r="C30" s="64">
        <f t="shared" si="3"/>
        <v>0</v>
      </c>
      <c r="D30" s="64">
        <f t="shared" si="3"/>
        <v>0</v>
      </c>
      <c r="E30" s="64">
        <f t="shared" si="3"/>
        <v>0</v>
      </c>
      <c r="F30" s="64">
        <f t="shared" si="3"/>
        <v>0</v>
      </c>
      <c r="G30" s="64">
        <f t="shared" si="3"/>
        <v>0</v>
      </c>
      <c r="H30" s="64">
        <f t="shared" si="3"/>
        <v>0</v>
      </c>
      <c r="I30" s="64">
        <f t="shared" si="3"/>
        <v>0</v>
      </c>
      <c r="J30" s="64">
        <f t="shared" si="3"/>
        <v>0</v>
      </c>
      <c r="K30" s="64">
        <f t="shared" si="1"/>
        <v>0</v>
      </c>
      <c r="O30" s="19" t="s">
        <v>453</v>
      </c>
      <c r="P30" s="99">
        <f t="shared" ref="P30:X30" si="4">SUM(P24:P29)</f>
        <v>0</v>
      </c>
      <c r="Q30" s="99">
        <f t="shared" si="4"/>
        <v>0</v>
      </c>
      <c r="R30" s="99">
        <f t="shared" si="4"/>
        <v>0</v>
      </c>
      <c r="S30" s="99">
        <f t="shared" si="4"/>
        <v>0</v>
      </c>
      <c r="T30" s="99">
        <f t="shared" si="4"/>
        <v>0</v>
      </c>
      <c r="U30" s="99">
        <f t="shared" si="4"/>
        <v>0</v>
      </c>
      <c r="V30" s="99">
        <f t="shared" si="4"/>
        <v>0</v>
      </c>
      <c r="W30" s="99">
        <f t="shared" si="4"/>
        <v>0</v>
      </c>
      <c r="X30" s="99">
        <f t="shared" si="4"/>
        <v>0</v>
      </c>
      <c r="Y30" s="99">
        <f t="shared" si="2"/>
        <v>0</v>
      </c>
    </row>
    <row r="32" spans="1:25" ht="14.4" x14ac:dyDescent="0.3">
      <c r="A32" s="83" t="s">
        <v>419</v>
      </c>
      <c r="B32" s="70">
        <v>2028</v>
      </c>
      <c r="C32" s="70">
        <v>2029</v>
      </c>
      <c r="D32" s="70">
        <v>2030</v>
      </c>
      <c r="E32" s="70">
        <v>2031</v>
      </c>
      <c r="F32" s="70">
        <v>2032</v>
      </c>
      <c r="G32" s="70">
        <v>2033</v>
      </c>
      <c r="H32" s="70">
        <v>2034</v>
      </c>
      <c r="I32" s="70">
        <v>2035</v>
      </c>
      <c r="J32" s="70" t="s">
        <v>362</v>
      </c>
      <c r="K32" s="70" t="s">
        <v>319</v>
      </c>
      <c r="L32" s="11"/>
    </row>
    <row r="33" spans="1:25" ht="14.4" x14ac:dyDescent="0.3">
      <c r="A33" s="19" t="s">
        <v>420</v>
      </c>
      <c r="B33" s="50">
        <f>IF(Inflows!$J$7=0,0,Inflows!B28/Inflows!$J$7*$B$5)</f>
        <v>0</v>
      </c>
      <c r="C33" s="50">
        <f>IF(Inflows!$J$7=0,0,Inflows!C28/Inflows!$J$7*$B$5)</f>
        <v>0</v>
      </c>
      <c r="D33" s="50">
        <f>IF(Inflows!$J$7=0,0,Inflows!D28/Inflows!$J$7*$B$5)</f>
        <v>0</v>
      </c>
      <c r="E33" s="50">
        <f>IF(Inflows!$J$7=0,0,Inflows!E28/Inflows!$J$7*$B$5)</f>
        <v>0</v>
      </c>
      <c r="F33" s="50">
        <f>IF(Inflows!$J$7=0,0,Inflows!F28/Inflows!$J$7*$B$5)</f>
        <v>0</v>
      </c>
      <c r="G33" s="50">
        <f>IF(Inflows!$J$7=0,0,Inflows!G28/Inflows!$J$7*$B$5)</f>
        <v>0</v>
      </c>
      <c r="H33" s="50">
        <f>IF(Inflows!$J$7=0,0,Inflows!H28/Inflows!$J$7*$B$5)</f>
        <v>0</v>
      </c>
      <c r="I33" s="50">
        <f>IF(Inflows!$J$7=0,0,Inflows!I28/Inflows!$J$7*$B$5)</f>
        <v>0</v>
      </c>
      <c r="J33" s="88"/>
      <c r="K33" s="64">
        <f>SUM(B33:J33)</f>
        <v>0</v>
      </c>
      <c r="L33" s="1"/>
    </row>
    <row r="34" spans="1:25" ht="18" x14ac:dyDescent="0.3">
      <c r="A34" s="19" t="s">
        <v>383</v>
      </c>
      <c r="B34" s="50">
        <f>'pay out values'!P170</f>
        <v>0</v>
      </c>
      <c r="C34" s="50">
        <f>'pay out values'!Q170</f>
        <v>0</v>
      </c>
      <c r="D34" s="50">
        <f>'pay out values'!R170</f>
        <v>0</v>
      </c>
      <c r="E34" s="50">
        <f>'pay out values'!S170</f>
        <v>0</v>
      </c>
      <c r="F34" s="50">
        <f>'pay out values'!T170</f>
        <v>0</v>
      </c>
      <c r="G34" s="50">
        <f>'pay out values'!U170</f>
        <v>0</v>
      </c>
      <c r="H34" s="50">
        <f>'pay out values'!V170</f>
        <v>0</v>
      </c>
      <c r="I34" s="50">
        <f>'pay out values'!W170</f>
        <v>0</v>
      </c>
      <c r="J34" s="88"/>
      <c r="K34" s="64">
        <f>SUM(B34:J34)</f>
        <v>0</v>
      </c>
      <c r="O34" s="157" t="s">
        <v>421</v>
      </c>
      <c r="P34" s="157"/>
      <c r="Q34" s="157"/>
      <c r="R34" s="157"/>
      <c r="S34" s="157"/>
      <c r="T34" s="157"/>
      <c r="U34" s="157"/>
      <c r="V34" s="157"/>
      <c r="W34" s="157"/>
      <c r="X34" s="157"/>
      <c r="Y34" s="157"/>
    </row>
    <row r="35" spans="1:25" ht="14.4" x14ac:dyDescent="0.3">
      <c r="A35" s="19" t="s">
        <v>384</v>
      </c>
      <c r="B35" s="50">
        <f>B34</f>
        <v>0</v>
      </c>
      <c r="C35" s="50">
        <f t="shared" ref="C35:I35" si="5">B35+C34</f>
        <v>0</v>
      </c>
      <c r="D35" s="50">
        <f t="shared" si="5"/>
        <v>0</v>
      </c>
      <c r="E35" s="50">
        <f t="shared" si="5"/>
        <v>0</v>
      </c>
      <c r="F35" s="50">
        <f t="shared" si="5"/>
        <v>0</v>
      </c>
      <c r="G35" s="50">
        <f t="shared" si="5"/>
        <v>0</v>
      </c>
      <c r="H35" s="50">
        <f t="shared" si="5"/>
        <v>0</v>
      </c>
      <c r="I35" s="50">
        <f t="shared" si="5"/>
        <v>0</v>
      </c>
      <c r="J35" s="88"/>
      <c r="K35" s="107"/>
    </row>
    <row r="36" spans="1:25" ht="14.4" x14ac:dyDescent="0.3">
      <c r="A36" s="19" t="s">
        <v>385</v>
      </c>
      <c r="B36" s="50">
        <f>B35+SUM($B33:B33)</f>
        <v>0</v>
      </c>
      <c r="C36" s="50">
        <f>C35+SUM($B33:C33)</f>
        <v>0</v>
      </c>
      <c r="D36" s="50">
        <f>D35+SUM($B33:D33)</f>
        <v>0</v>
      </c>
      <c r="E36" s="50">
        <f>E35+SUM($B33:E33)</f>
        <v>0</v>
      </c>
      <c r="F36" s="50">
        <f>F35+SUM($B33:F33)</f>
        <v>0</v>
      </c>
      <c r="G36" s="50">
        <f>G35+SUM($B33:G33)</f>
        <v>0</v>
      </c>
      <c r="H36" s="50">
        <f>H35+SUM($B33:H33)</f>
        <v>0</v>
      </c>
      <c r="I36" s="50">
        <f>I35+SUM($B33:I33)</f>
        <v>0</v>
      </c>
      <c r="J36" s="88"/>
      <c r="K36" s="107"/>
      <c r="O36" s="177" t="s">
        <v>422</v>
      </c>
      <c r="P36" s="178"/>
      <c r="Q36" s="178"/>
      <c r="R36" s="178"/>
      <c r="S36" s="178"/>
      <c r="T36" s="178"/>
      <c r="U36" s="178"/>
      <c r="V36" s="178"/>
    </row>
    <row r="37" spans="1:25" ht="14.4" x14ac:dyDescent="0.3">
      <c r="A37" s="19" t="str">
        <f>"amount above "&amp;TEXT($C$19,"0%")&amp;" ceiling"</f>
        <v>amount above 95% ceiling</v>
      </c>
      <c r="B37" s="50">
        <f t="shared" ref="B37:I37" si="6">IF(B36&gt;$B$19, B36-$B$19, 0)</f>
        <v>0</v>
      </c>
      <c r="C37" s="50">
        <f t="shared" si="6"/>
        <v>0</v>
      </c>
      <c r="D37" s="50">
        <f t="shared" si="6"/>
        <v>0</v>
      </c>
      <c r="E37" s="50">
        <f t="shared" si="6"/>
        <v>0</v>
      </c>
      <c r="F37" s="50">
        <f t="shared" si="6"/>
        <v>0</v>
      </c>
      <c r="G37" s="50">
        <f t="shared" si="6"/>
        <v>0</v>
      </c>
      <c r="H37" s="50">
        <f t="shared" si="6"/>
        <v>0</v>
      </c>
      <c r="I37" s="50">
        <f t="shared" si="6"/>
        <v>0</v>
      </c>
      <c r="J37" s="88"/>
      <c r="K37" s="107"/>
      <c r="O37" s="83" t="s">
        <v>423</v>
      </c>
      <c r="P37" s="70" t="s">
        <v>424</v>
      </c>
      <c r="Q37" s="70" t="s">
        <v>425</v>
      </c>
      <c r="R37" s="70" t="s">
        <v>426</v>
      </c>
      <c r="S37" s="70" t="s">
        <v>427</v>
      </c>
      <c r="T37" s="70" t="s">
        <v>428</v>
      </c>
      <c r="U37" s="70" t="s">
        <v>429</v>
      </c>
      <c r="V37" s="70" t="s">
        <v>319</v>
      </c>
    </row>
    <row r="38" spans="1:25" ht="14.4" x14ac:dyDescent="0.3">
      <c r="A38" s="19" t="str">
        <f>"clearance of pre-financing AND impact of "&amp;TEXT($C$19,"0%")&amp;" ceiling"</f>
        <v>clearance of pre-financing AND impact of 95% ceiling</v>
      </c>
      <c r="B38" s="50">
        <f>MIN(B36,$B$19)-B33-B34</f>
        <v>0</v>
      </c>
      <c r="C38" s="50">
        <f t="shared" ref="C38:I38" si="7">MIN(C36,$B$19)-MIN(B36,$B$19)-C33-C34</f>
        <v>0</v>
      </c>
      <c r="D38" s="50">
        <f t="shared" si="7"/>
        <v>0</v>
      </c>
      <c r="E38" s="50">
        <f t="shared" si="7"/>
        <v>0</v>
      </c>
      <c r="F38" s="50">
        <f t="shared" si="7"/>
        <v>0</v>
      </c>
      <c r="G38" s="50">
        <f t="shared" si="7"/>
        <v>0</v>
      </c>
      <c r="H38" s="50">
        <f t="shared" si="7"/>
        <v>0</v>
      </c>
      <c r="I38" s="50">
        <f t="shared" si="7"/>
        <v>0</v>
      </c>
      <c r="J38" s="88"/>
      <c r="K38" s="64">
        <f>SUM(B38:J38)</f>
        <v>0</v>
      </c>
      <c r="O38" s="83" t="s">
        <v>430</v>
      </c>
      <c r="P38" s="111">
        <v>0.05</v>
      </c>
      <c r="Q38" s="111">
        <v>0.15</v>
      </c>
      <c r="R38" s="111">
        <v>0.35</v>
      </c>
      <c r="S38" s="111">
        <v>0.25</v>
      </c>
      <c r="T38" s="111">
        <v>0.15</v>
      </c>
      <c r="U38" s="111">
        <v>0.05</v>
      </c>
      <c r="V38" s="100">
        <f>SUM(P38:U38)</f>
        <v>1</v>
      </c>
    </row>
    <row r="39" spans="1:25" x14ac:dyDescent="0.3">
      <c r="A39" s="19" t="str">
        <f>TEXT(1-$C$19,"0%")&amp;" paid after programme closure"</f>
        <v>5% paid after programme closure</v>
      </c>
      <c r="B39" s="89"/>
      <c r="C39" s="90"/>
      <c r="D39" s="90"/>
      <c r="E39" s="90"/>
      <c r="F39" s="90"/>
      <c r="G39" s="90"/>
      <c r="H39" s="90"/>
      <c r="I39" s="91"/>
      <c r="J39" s="50">
        <f>B15</f>
        <v>0</v>
      </c>
      <c r="K39" s="64">
        <f>SUM(B39:J39)</f>
        <v>0</v>
      </c>
      <c r="O39" s="83" t="s">
        <v>431</v>
      </c>
      <c r="P39" s="95">
        <f t="shared" ref="P39:U39" si="8">P38*$T$42</f>
        <v>0</v>
      </c>
      <c r="Q39" s="95">
        <f t="shared" si="8"/>
        <v>0</v>
      </c>
      <c r="R39" s="95">
        <f t="shared" si="8"/>
        <v>0</v>
      </c>
      <c r="S39" s="95">
        <f t="shared" si="8"/>
        <v>0</v>
      </c>
      <c r="T39" s="95">
        <f t="shared" si="8"/>
        <v>0</v>
      </c>
      <c r="U39" s="95">
        <f t="shared" si="8"/>
        <v>0</v>
      </c>
      <c r="V39" s="95">
        <f>SUM(P39:U39)</f>
        <v>0</v>
      </c>
    </row>
    <row r="40" spans="1:25" ht="14.4" x14ac:dyDescent="0.3">
      <c r="A40" s="19" t="s">
        <v>386</v>
      </c>
      <c r="B40" s="64">
        <f t="shared" ref="B40:J40" si="9">B34+B38+B39</f>
        <v>0</v>
      </c>
      <c r="C40" s="64">
        <f t="shared" si="9"/>
        <v>0</v>
      </c>
      <c r="D40" s="64">
        <f t="shared" si="9"/>
        <v>0</v>
      </c>
      <c r="E40" s="64">
        <f t="shared" si="9"/>
        <v>0</v>
      </c>
      <c r="F40" s="64">
        <f t="shared" si="9"/>
        <v>0</v>
      </c>
      <c r="G40" s="64">
        <f t="shared" si="9"/>
        <v>0</v>
      </c>
      <c r="H40" s="64">
        <f t="shared" si="9"/>
        <v>0</v>
      </c>
      <c r="I40" s="64">
        <f t="shared" si="9"/>
        <v>0</v>
      </c>
      <c r="J40" s="64">
        <f t="shared" si="9"/>
        <v>0</v>
      </c>
      <c r="K40" s="64">
        <f>SUM(B40:J40)</f>
        <v>0</v>
      </c>
      <c r="L40" s="1"/>
    </row>
    <row r="41" spans="1:25" ht="14.4" x14ac:dyDescent="0.3">
      <c r="A41" s="19" t="s">
        <v>387</v>
      </c>
      <c r="B41" s="93">
        <f t="shared" ref="B41:I41" si="10">IF(B34=0,0,B40/B34)</f>
        <v>0</v>
      </c>
      <c r="C41" s="93">
        <f t="shared" si="10"/>
        <v>0</v>
      </c>
      <c r="D41" s="93">
        <f t="shared" si="10"/>
        <v>0</v>
      </c>
      <c r="E41" s="93">
        <f t="shared" si="10"/>
        <v>0</v>
      </c>
      <c r="F41" s="93">
        <f t="shared" si="10"/>
        <v>0</v>
      </c>
      <c r="G41" s="93">
        <f t="shared" si="10"/>
        <v>0</v>
      </c>
      <c r="H41" s="93">
        <f t="shared" si="10"/>
        <v>0</v>
      </c>
      <c r="I41" s="93">
        <f t="shared" si="10"/>
        <v>0</v>
      </c>
      <c r="J41" s="98"/>
      <c r="K41" s="98"/>
      <c r="L41" s="1"/>
      <c r="P41" s="13" t="s">
        <v>432</v>
      </c>
      <c r="T41" t="s">
        <v>433</v>
      </c>
    </row>
    <row r="42" spans="1:25" ht="14.4" x14ac:dyDescent="0.3">
      <c r="A42" s="106" t="s">
        <v>434</v>
      </c>
      <c r="O42" s="112" t="s">
        <v>435</v>
      </c>
      <c r="P42" s="113"/>
      <c r="Q42" s="112" t="s">
        <v>436</v>
      </c>
      <c r="R42" s="113"/>
      <c r="S42" s="114"/>
      <c r="T42" s="110"/>
    </row>
    <row r="43" spans="1:25" ht="14.4" x14ac:dyDescent="0.3">
      <c r="O43" s="112" t="s">
        <v>437</v>
      </c>
      <c r="P43" s="113"/>
      <c r="Q43" s="112" t="s">
        <v>438</v>
      </c>
      <c r="R43" s="113"/>
      <c r="S43" s="114"/>
      <c r="T43" s="114"/>
    </row>
    <row r="44" spans="1:25" ht="14.4" x14ac:dyDescent="0.3">
      <c r="A44" s="83" t="s">
        <v>404</v>
      </c>
      <c r="B44" s="70">
        <v>2028</v>
      </c>
      <c r="C44" s="70">
        <v>2029</v>
      </c>
      <c r="D44" s="70">
        <v>2030</v>
      </c>
      <c r="E44" s="70">
        <v>2031</v>
      </c>
      <c r="F44" s="70">
        <v>2032</v>
      </c>
      <c r="G44" s="70">
        <v>2033</v>
      </c>
      <c r="H44" s="70">
        <v>2034</v>
      </c>
      <c r="I44" s="70">
        <v>2035</v>
      </c>
      <c r="J44" s="70" t="s">
        <v>362</v>
      </c>
      <c r="K44" s="70" t="s">
        <v>319</v>
      </c>
      <c r="O44" s="112" t="s">
        <v>439</v>
      </c>
      <c r="P44" s="113"/>
      <c r="Q44" s="112" t="s">
        <v>440</v>
      </c>
      <c r="R44" s="113"/>
      <c r="S44" s="114"/>
      <c r="T44" s="114" t="s">
        <v>441</v>
      </c>
    </row>
    <row r="45" spans="1:25" ht="14.4" x14ac:dyDescent="0.3">
      <c r="A45" s="19" t="s">
        <v>442</v>
      </c>
      <c r="B45" s="50">
        <f t="shared" ref="B45:J45" si="11">B33+B40</f>
        <v>0</v>
      </c>
      <c r="C45" s="50">
        <f t="shared" si="11"/>
        <v>0</v>
      </c>
      <c r="D45" s="50">
        <f t="shared" si="11"/>
        <v>0</v>
      </c>
      <c r="E45" s="50">
        <f t="shared" si="11"/>
        <v>0</v>
      </c>
      <c r="F45" s="50">
        <f t="shared" si="11"/>
        <v>0</v>
      </c>
      <c r="G45" s="50">
        <f t="shared" si="11"/>
        <v>0</v>
      </c>
      <c r="H45" s="50">
        <f t="shared" si="11"/>
        <v>0</v>
      </c>
      <c r="I45" s="50">
        <f t="shared" si="11"/>
        <v>0</v>
      </c>
      <c r="J45" s="50">
        <f t="shared" si="11"/>
        <v>0</v>
      </c>
      <c r="K45" s="64">
        <f>SUM(B45:J45)</f>
        <v>0</v>
      </c>
    </row>
    <row r="46" spans="1:25" x14ac:dyDescent="0.3">
      <c r="A46" s="19" t="s">
        <v>443</v>
      </c>
      <c r="B46" s="50">
        <f t="shared" ref="B46:J46" si="12">P30</f>
        <v>0</v>
      </c>
      <c r="C46" s="50">
        <f t="shared" si="12"/>
        <v>0</v>
      </c>
      <c r="D46" s="50">
        <f t="shared" si="12"/>
        <v>0</v>
      </c>
      <c r="E46" s="50">
        <f t="shared" si="12"/>
        <v>0</v>
      </c>
      <c r="F46" s="50">
        <f t="shared" si="12"/>
        <v>0</v>
      </c>
      <c r="G46" s="50">
        <f t="shared" si="12"/>
        <v>0</v>
      </c>
      <c r="H46" s="50">
        <f t="shared" si="12"/>
        <v>0</v>
      </c>
      <c r="I46" s="50">
        <f t="shared" si="12"/>
        <v>0</v>
      </c>
      <c r="J46" s="50">
        <f t="shared" si="12"/>
        <v>0</v>
      </c>
      <c r="K46" s="64">
        <f>SUM(B46:J46)</f>
        <v>0</v>
      </c>
      <c r="O46" s="83" t="s">
        <v>409</v>
      </c>
      <c r="P46" s="70">
        <v>2028</v>
      </c>
      <c r="Q46" s="70">
        <v>2029</v>
      </c>
      <c r="R46" s="70">
        <v>2030</v>
      </c>
      <c r="S46" s="70">
        <v>2031</v>
      </c>
      <c r="T46" s="70">
        <v>2032</v>
      </c>
      <c r="U46" s="70">
        <v>2033</v>
      </c>
      <c r="V46" s="70">
        <v>2034</v>
      </c>
      <c r="W46" s="70">
        <v>2035</v>
      </c>
      <c r="X46" s="70" t="s">
        <v>362</v>
      </c>
      <c r="Y46" s="70" t="s">
        <v>319</v>
      </c>
    </row>
    <row r="47" spans="1:25" x14ac:dyDescent="0.3">
      <c r="A47" s="19" t="s">
        <v>444</v>
      </c>
      <c r="B47" s="50">
        <f t="shared" ref="B47:J47" si="13">B45-B46</f>
        <v>0</v>
      </c>
      <c r="C47" s="50">
        <f t="shared" si="13"/>
        <v>0</v>
      </c>
      <c r="D47" s="50">
        <f t="shared" si="13"/>
        <v>0</v>
      </c>
      <c r="E47" s="50">
        <f t="shared" si="13"/>
        <v>0</v>
      </c>
      <c r="F47" s="50">
        <f t="shared" si="13"/>
        <v>0</v>
      </c>
      <c r="G47" s="50">
        <f t="shared" si="13"/>
        <v>0</v>
      </c>
      <c r="H47" s="50">
        <f t="shared" si="13"/>
        <v>0</v>
      </c>
      <c r="I47" s="50">
        <f t="shared" si="13"/>
        <v>0</v>
      </c>
      <c r="J47" s="50">
        <f t="shared" si="13"/>
        <v>0</v>
      </c>
      <c r="K47" s="98"/>
      <c r="O47" s="113" t="s">
        <v>412</v>
      </c>
      <c r="P47" s="110"/>
      <c r="Q47" s="110">
        <f>$P$42*P$39</f>
        <v>0</v>
      </c>
      <c r="R47" s="110">
        <f>$P$42*(Q$39+R$39)</f>
        <v>0</v>
      </c>
      <c r="S47" s="110">
        <f>$P$42*(S$39+T$39)</f>
        <v>0</v>
      </c>
      <c r="T47" s="110">
        <f>$P$42*U$39</f>
        <v>0</v>
      </c>
      <c r="U47" s="110"/>
      <c r="V47" s="110"/>
      <c r="W47" s="110"/>
      <c r="X47" s="110"/>
      <c r="Y47" s="99">
        <f t="shared" ref="Y47:Y53" si="14">SUM(P47:X47)</f>
        <v>0</v>
      </c>
    </row>
    <row r="48" spans="1:25" x14ac:dyDescent="0.3">
      <c r="A48" s="19" t="s">
        <v>445</v>
      </c>
      <c r="B48" s="50">
        <f>B47</f>
        <v>0</v>
      </c>
      <c r="C48" s="50">
        <f t="shared" ref="C48:J48" si="15">B48+C47</f>
        <v>0</v>
      </c>
      <c r="D48" s="50">
        <f t="shared" si="15"/>
        <v>0</v>
      </c>
      <c r="E48" s="50">
        <f t="shared" si="15"/>
        <v>0</v>
      </c>
      <c r="F48" s="50">
        <f t="shared" si="15"/>
        <v>0</v>
      </c>
      <c r="G48" s="50">
        <f t="shared" si="15"/>
        <v>0</v>
      </c>
      <c r="H48" s="50">
        <f t="shared" si="15"/>
        <v>0</v>
      </c>
      <c r="I48" s="50">
        <f t="shared" si="15"/>
        <v>0</v>
      </c>
      <c r="J48" s="50">
        <f t="shared" si="15"/>
        <v>0</v>
      </c>
      <c r="K48" s="98"/>
      <c r="O48" s="113" t="s">
        <v>413</v>
      </c>
      <c r="P48" s="110"/>
      <c r="Q48" s="110"/>
      <c r="R48" s="110">
        <f>$P$43*P$39</f>
        <v>0</v>
      </c>
      <c r="S48" s="110">
        <f>$P$43*(Q$39+R$39)</f>
        <v>0</v>
      </c>
      <c r="T48" s="110">
        <f>$P$43*(S$39+T$39)</f>
        <v>0</v>
      </c>
      <c r="U48" s="110">
        <f>$P$43*U$39</f>
        <v>0</v>
      </c>
      <c r="V48" s="110"/>
      <c r="W48" s="110"/>
      <c r="X48" s="110"/>
      <c r="Y48" s="99">
        <f t="shared" si="14"/>
        <v>0</v>
      </c>
    </row>
    <row r="49" spans="1:25" x14ac:dyDescent="0.3">
      <c r="O49" s="113" t="s">
        <v>414</v>
      </c>
      <c r="P49" s="110"/>
      <c r="Q49" s="110"/>
      <c r="R49" s="110"/>
      <c r="S49" s="110">
        <f>$P$44*P$39</f>
        <v>0</v>
      </c>
      <c r="T49" s="110">
        <f>$P$44*(Q$39+R$39)</f>
        <v>0</v>
      </c>
      <c r="U49" s="110">
        <f>$P$44*(S$39+T$39)</f>
        <v>0</v>
      </c>
      <c r="V49" s="110">
        <f>$P$44*U$39</f>
        <v>0</v>
      </c>
      <c r="W49" s="110"/>
      <c r="X49" s="110"/>
      <c r="Y49" s="99">
        <f t="shared" si="14"/>
        <v>0</v>
      </c>
    </row>
    <row r="50" spans="1:25" x14ac:dyDescent="0.3">
      <c r="O50" s="113" t="s">
        <v>415</v>
      </c>
      <c r="P50" s="110"/>
      <c r="Q50" s="110"/>
      <c r="R50" s="110"/>
      <c r="S50" s="110"/>
      <c r="T50" s="110"/>
      <c r="U50" s="110"/>
      <c r="V50" s="110"/>
      <c r="W50" s="110"/>
      <c r="X50" s="110"/>
      <c r="Y50" s="99">
        <f t="shared" si="14"/>
        <v>0</v>
      </c>
    </row>
    <row r="51" spans="1:25" x14ac:dyDescent="0.3">
      <c r="A51" s="101" t="s">
        <v>446</v>
      </c>
      <c r="B51" s="70">
        <v>2028</v>
      </c>
      <c r="C51" s="70">
        <v>2029</v>
      </c>
      <c r="D51" s="70">
        <v>2030</v>
      </c>
      <c r="E51" s="70">
        <v>2031</v>
      </c>
      <c r="F51" s="70">
        <v>2032</v>
      </c>
      <c r="G51" s="70">
        <v>2033</v>
      </c>
      <c r="H51" s="70">
        <v>2034</v>
      </c>
      <c r="I51" s="70">
        <v>2035</v>
      </c>
      <c r="J51" s="70" t="s">
        <v>362</v>
      </c>
      <c r="O51" s="113" t="s">
        <v>416</v>
      </c>
      <c r="P51" s="110"/>
      <c r="Q51" s="110"/>
      <c r="R51" s="110"/>
      <c r="S51" s="110"/>
      <c r="T51" s="110"/>
      <c r="U51" s="110"/>
      <c r="V51" s="110"/>
      <c r="W51" s="110"/>
      <c r="X51" s="110"/>
      <c r="Y51" s="99">
        <f t="shared" si="14"/>
        <v>0</v>
      </c>
    </row>
    <row r="52" spans="1:25" x14ac:dyDescent="0.3">
      <c r="A52" s="19" t="s">
        <v>405</v>
      </c>
      <c r="B52" s="50">
        <f>B45</f>
        <v>0</v>
      </c>
      <c r="C52" s="50">
        <f t="shared" ref="C52:J53" si="16">B52+C45</f>
        <v>0</v>
      </c>
      <c r="D52" s="50">
        <f t="shared" si="16"/>
        <v>0</v>
      </c>
      <c r="E52" s="50">
        <f t="shared" si="16"/>
        <v>0</v>
      </c>
      <c r="F52" s="50">
        <f t="shared" si="16"/>
        <v>0</v>
      </c>
      <c r="G52" s="50">
        <f t="shared" si="16"/>
        <v>0</v>
      </c>
      <c r="H52" s="50">
        <f t="shared" si="16"/>
        <v>0</v>
      </c>
      <c r="I52" s="50">
        <f t="shared" si="16"/>
        <v>0</v>
      </c>
      <c r="J52" s="50">
        <f t="shared" si="16"/>
        <v>0</v>
      </c>
      <c r="K52" s="1"/>
      <c r="O52" s="113" t="s">
        <v>417</v>
      </c>
      <c r="P52" s="110"/>
      <c r="Q52" s="110"/>
      <c r="R52" s="110"/>
      <c r="S52" s="110"/>
      <c r="T52" s="110"/>
      <c r="U52" s="110"/>
      <c r="V52" s="110"/>
      <c r="W52" s="110"/>
      <c r="X52" s="110"/>
      <c r="Y52" s="99">
        <f t="shared" si="14"/>
        <v>0</v>
      </c>
    </row>
    <row r="53" spans="1:25" x14ac:dyDescent="0.3">
      <c r="A53" s="19" t="s">
        <v>406</v>
      </c>
      <c r="B53" s="50">
        <f>B46</f>
        <v>0</v>
      </c>
      <c r="C53" s="50">
        <f t="shared" si="16"/>
        <v>0</v>
      </c>
      <c r="D53" s="50">
        <f t="shared" si="16"/>
        <v>0</v>
      </c>
      <c r="E53" s="50">
        <f t="shared" si="16"/>
        <v>0</v>
      </c>
      <c r="F53" s="50">
        <f t="shared" si="16"/>
        <v>0</v>
      </c>
      <c r="G53" s="50">
        <f t="shared" si="16"/>
        <v>0</v>
      </c>
      <c r="H53" s="50">
        <f t="shared" si="16"/>
        <v>0</v>
      </c>
      <c r="I53" s="50">
        <f t="shared" si="16"/>
        <v>0</v>
      </c>
      <c r="J53" s="50">
        <f t="shared" si="16"/>
        <v>0</v>
      </c>
      <c r="O53" s="19" t="s">
        <v>453</v>
      </c>
      <c r="P53" s="99">
        <f t="shared" ref="P53:X53" si="17">SUM(P47:P52)</f>
        <v>0</v>
      </c>
      <c r="Q53" s="99">
        <f t="shared" si="17"/>
        <v>0</v>
      </c>
      <c r="R53" s="99">
        <f t="shared" si="17"/>
        <v>0</v>
      </c>
      <c r="S53" s="99">
        <f t="shared" si="17"/>
        <v>0</v>
      </c>
      <c r="T53" s="99">
        <f t="shared" si="17"/>
        <v>0</v>
      </c>
      <c r="U53" s="99">
        <f t="shared" si="17"/>
        <v>0</v>
      </c>
      <c r="V53" s="99">
        <f t="shared" si="17"/>
        <v>0</v>
      </c>
      <c r="W53" s="99">
        <f t="shared" si="17"/>
        <v>0</v>
      </c>
      <c r="X53" s="99">
        <f t="shared" si="17"/>
        <v>0</v>
      </c>
      <c r="Y53" s="99">
        <f t="shared" si="14"/>
        <v>0</v>
      </c>
    </row>
    <row r="62" spans="1:25" x14ac:dyDescent="0.3">
      <c r="T62" s="81"/>
    </row>
    <row r="63" spans="1:25" x14ac:dyDescent="0.3">
      <c r="A63" s="82"/>
    </row>
    <row r="64" spans="1:25" x14ac:dyDescent="0.3">
      <c r="A64" s="86"/>
    </row>
    <row r="65" spans="1:1" x14ac:dyDescent="0.3">
      <c r="A65" s="14"/>
    </row>
    <row r="66" spans="1:1" x14ac:dyDescent="0.3">
      <c r="A66" s="13"/>
    </row>
    <row r="67" spans="1:1" x14ac:dyDescent="0.3">
      <c r="A67" s="13"/>
    </row>
  </sheetData>
  <sheetProtection selectLockedCells="1"/>
  <mergeCells count="5">
    <mergeCell ref="A1:K1"/>
    <mergeCell ref="A2:K2"/>
    <mergeCell ref="O20:Y20"/>
    <mergeCell ref="O34:Y34"/>
    <mergeCell ref="O36:V36"/>
  </mergeCells>
  <conditionalFormatting sqref="A1:Y67">
    <cfRule type="expression" dxfId="8" priority="100">
      <formula>ISERROR(A1)</formula>
    </cfRule>
  </conditionalFormatting>
  <conditionalFormatting sqref="B36:I36">
    <cfRule type="cellIs" dxfId="7" priority="1" operator="greaterThan">
      <formula>$B$19</formula>
    </cfRule>
  </conditionalFormatting>
  <conditionalFormatting sqref="K30">
    <cfRule type="cellIs" dxfId="6" priority="2" operator="equal">
      <formula>$B$5</formula>
    </cfRule>
  </conditionalFormatting>
  <dataValidations count="5">
    <dataValidation type="decimal" operator="greaterThanOrEqual" allowBlank="1" showInputMessage="1" showErrorMessage="1" errorTitle="Amount required" error="Enter an amount in EUR, 0 or more." promptTitle="Average project budget (EUR)" prompt="Enter the average EU budget of a project in EUR." sqref="T42" xr:uid="{D1F4EF38-64A8-41FD-86D9-1ED0CDE4E419}">
      <formula1>0</formula1>
    </dataValidation>
    <dataValidation type="decimal" operator="greaterThanOrEqual" allowBlank="1" showInputMessage="1" showErrorMessage="1" errorTitle="Number required" error="Enter a number, 0 or more." promptTitle="Number of projects per call" prompt="Enter the number of projects expected per call." sqref="P42:P44 R42:R44" xr:uid="{C1CFFA04-002B-4628-981D-DC341991A682}">
      <formula1>0</formula1>
    </dataValidation>
    <dataValidation type="decimal" allowBlank="1" showInputMessage="1" showErrorMessage="1" errorTitle="Percentage required" error="Enter a percentage between 0% and 100%." promptTitle="Spending profile (%)" prompt="Enter the share of the project budget spent in each half year of a regular 36 month project. The six values must add up to 100%." sqref="P38:U38" xr:uid="{C9478744-DBCF-4FFF-87CC-A5AD75DC39DA}">
      <formula1>0</formula1>
      <formula2>1</formula2>
    </dataValidation>
    <dataValidation type="decimal" operator="greaterThanOrEqual" allowBlank="1" showInputMessage="1" showErrorMessage="1" errorTitle="Amount required" error="Enter an amount in EUR, 0 or more." promptTitle="Payments to projects (EUR)" prompt="Enter the payments to projects per call and year in EUR (2028 to 2035 and after closure), for example copied from the mini calculator on the right. They feed the outflows of this sheet." sqref="P24:X29" xr:uid="{513C2EB6-226A-4122-86F2-956261211903}">
      <formula1>0</formula1>
    </dataValidation>
    <dataValidation allowBlank="1" showInputMessage="1" promptTitle="Call or project group" prompt="Optional. Name of the call or group of projects. The name is shown in the table on the left." sqref="O24:O29" xr:uid="{00000000-0002-0000-0E00-000004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4A32F-3583-4F0E-98C2-B8660AEFB798}">
  <dimension ref="A1:Y67"/>
  <sheetViews>
    <sheetView topLeftCell="A27" zoomScaleNormal="100" workbookViewId="0">
      <selection activeCell="K59" sqref="K59"/>
    </sheetView>
  </sheetViews>
  <sheetFormatPr defaultRowHeight="15.05" x14ac:dyDescent="0.3"/>
  <cols>
    <col min="1" max="1" width="44" customWidth="1"/>
    <col min="2" max="2" width="14.5546875" customWidth="1"/>
    <col min="3" max="3" width="13.5546875" customWidth="1"/>
    <col min="4" max="4" width="13.109375" customWidth="1"/>
    <col min="5" max="5" width="14.88671875" customWidth="1"/>
    <col min="6" max="6" width="14" customWidth="1"/>
    <col min="7" max="7" width="15.109375" customWidth="1"/>
    <col min="8" max="8" width="13.44140625" customWidth="1"/>
    <col min="9" max="9" width="14.44140625" customWidth="1"/>
    <col min="10" max="10" width="14.88671875" customWidth="1"/>
    <col min="11" max="11" width="14.109375" customWidth="1"/>
    <col min="15" max="15" width="19.5546875" bestFit="1" customWidth="1"/>
    <col min="20" max="20" width="14" bestFit="1" customWidth="1"/>
    <col min="25" max="25" width="10.109375" bestFit="1" customWidth="1"/>
    <col min="26" max="26" width="13.5546875" bestFit="1" customWidth="1"/>
    <col min="27" max="27" width="10.109375" bestFit="1" customWidth="1"/>
  </cols>
  <sheetData>
    <row r="1" spans="1:14" ht="18" x14ac:dyDescent="0.3">
      <c r="A1" s="157" t="s">
        <v>403</v>
      </c>
      <c r="B1" s="157"/>
      <c r="C1" s="157"/>
      <c r="D1" s="157"/>
      <c r="E1" s="157"/>
      <c r="F1" s="157"/>
      <c r="G1" s="157"/>
      <c r="H1" s="157"/>
      <c r="I1" s="157"/>
      <c r="J1" s="157"/>
      <c r="K1" s="157"/>
    </row>
    <row r="2" spans="1:14" ht="18" x14ac:dyDescent="0.3">
      <c r="A2" s="157" t="s">
        <v>407</v>
      </c>
      <c r="B2" s="157"/>
      <c r="C2" s="157"/>
      <c r="D2" s="157"/>
      <c r="E2" s="157"/>
      <c r="F2" s="157"/>
      <c r="G2" s="157"/>
      <c r="H2" s="157"/>
      <c r="I2" s="157"/>
      <c r="J2" s="157"/>
      <c r="K2" s="157"/>
    </row>
    <row r="3" spans="1:14" ht="14.4" x14ac:dyDescent="0.3">
      <c r="A3" s="5"/>
    </row>
    <row r="4" spans="1:14" ht="14.4" x14ac:dyDescent="0.3">
      <c r="B4" s="6" t="s">
        <v>408</v>
      </c>
      <c r="C4" s="6" t="s">
        <v>297</v>
      </c>
    </row>
    <row r="5" spans="1:14" ht="14.4" x14ac:dyDescent="0.3">
      <c r="A5" s="6" t="str">
        <f>'pay out values'!B35</f>
        <v>Measure 9</v>
      </c>
      <c r="B5" s="50">
        <f>'pay out values'!D35</f>
        <v>0</v>
      </c>
      <c r="C5" s="102">
        <f>'pay out values'!C35</f>
        <v>0</v>
      </c>
      <c r="K5" s="3"/>
    </row>
    <row r="6" spans="1:14" ht="14.4" x14ac:dyDescent="0.3">
      <c r="C6" s="3"/>
      <c r="D6" s="3"/>
      <c r="E6" s="87"/>
      <c r="F6" s="3"/>
      <c r="K6" s="3"/>
      <c r="N6" s="13"/>
    </row>
    <row r="7" spans="1:14" x14ac:dyDescent="0.3">
      <c r="A7" s="69" t="s">
        <v>368</v>
      </c>
      <c r="B7" s="83" t="s">
        <v>369</v>
      </c>
      <c r="C7" s="84" t="s">
        <v>370</v>
      </c>
      <c r="D7" s="3"/>
      <c r="E7" s="87"/>
      <c r="F7" s="3"/>
      <c r="K7" s="3"/>
      <c r="N7" s="13"/>
    </row>
    <row r="8" spans="1:14" ht="14.4" x14ac:dyDescent="0.3">
      <c r="A8" s="19" t="s">
        <v>371</v>
      </c>
      <c r="B8" s="50">
        <f>$B$5*C8</f>
        <v>0</v>
      </c>
      <c r="C8" s="102">
        <f>'N+1 '!J15</f>
        <v>0.12</v>
      </c>
      <c r="D8" s="3"/>
      <c r="E8" s="87"/>
      <c r="F8" s="3"/>
      <c r="K8" s="3"/>
    </row>
    <row r="9" spans="1:14" ht="14.4" x14ac:dyDescent="0.3">
      <c r="A9" s="19" t="s">
        <v>372</v>
      </c>
      <c r="B9" s="50">
        <f>$B$5*C9</f>
        <v>0</v>
      </c>
      <c r="C9" s="102">
        <f>1-C8</f>
        <v>0.88</v>
      </c>
      <c r="D9" s="3"/>
      <c r="E9" s="87"/>
      <c r="F9" s="3"/>
      <c r="K9" s="3"/>
    </row>
    <row r="10" spans="1:14" x14ac:dyDescent="0.3">
      <c r="A10" s="19" t="s">
        <v>286</v>
      </c>
      <c r="B10" s="50">
        <f>SUM(B8:B9)</f>
        <v>0</v>
      </c>
      <c r="C10" s="102">
        <f>SUM(C8:C9)</f>
        <v>1</v>
      </c>
      <c r="D10" s="3"/>
      <c r="E10" s="87"/>
      <c r="F10" s="3"/>
      <c r="K10" s="3"/>
    </row>
    <row r="11" spans="1:14" ht="14.4" x14ac:dyDescent="0.3">
      <c r="D11" s="3"/>
      <c r="E11" s="87"/>
      <c r="F11" s="3"/>
      <c r="K11" s="3"/>
    </row>
    <row r="12" spans="1:14" x14ac:dyDescent="0.3">
      <c r="A12" s="69" t="s">
        <v>373</v>
      </c>
      <c r="B12" s="83" t="s">
        <v>369</v>
      </c>
      <c r="C12" s="84" t="s">
        <v>370</v>
      </c>
      <c r="D12" s="3"/>
      <c r="E12" s="87"/>
      <c r="F12" s="3"/>
      <c r="K12" s="3"/>
    </row>
    <row r="13" spans="1:14" ht="14.4" x14ac:dyDescent="0.3">
      <c r="A13" s="19" t="s">
        <v>371</v>
      </c>
      <c r="B13" s="50">
        <f>$B$5*C13</f>
        <v>0</v>
      </c>
      <c r="C13" s="102">
        <f>C8</f>
        <v>0.12</v>
      </c>
      <c r="D13" s="3"/>
      <c r="E13" s="87"/>
      <c r="F13" s="3"/>
      <c r="K13" s="3"/>
    </row>
    <row r="14" spans="1:14" ht="14.4" x14ac:dyDescent="0.3">
      <c r="A14" s="19" t="s">
        <v>372</v>
      </c>
      <c r="B14" s="50">
        <f>$B$5*C14</f>
        <v>0</v>
      </c>
      <c r="C14" s="102">
        <f>C19-C8</f>
        <v>0.83</v>
      </c>
      <c r="D14" s="3"/>
      <c r="E14" s="87"/>
      <c r="F14" s="3"/>
      <c r="K14" s="3"/>
    </row>
    <row r="15" spans="1:14" ht="14.4" x14ac:dyDescent="0.3">
      <c r="A15" s="19" t="s">
        <v>375</v>
      </c>
      <c r="B15" s="50">
        <f>$B$5*C15</f>
        <v>0</v>
      </c>
      <c r="C15" s="102">
        <f>1-C19</f>
        <v>5.0000000000000044E-2</v>
      </c>
      <c r="D15" s="3"/>
      <c r="E15" s="87"/>
      <c r="K15" s="3"/>
      <c r="M15" s="3"/>
    </row>
    <row r="16" spans="1:14" x14ac:dyDescent="0.3">
      <c r="A16" s="19" t="s">
        <v>286</v>
      </c>
      <c r="B16" s="50">
        <f>SUM(B13:B15)</f>
        <v>0</v>
      </c>
      <c r="C16" s="102">
        <f>SUM(C13:C15)</f>
        <v>1</v>
      </c>
      <c r="D16" s="3"/>
      <c r="E16" s="87"/>
      <c r="F16" s="3"/>
      <c r="K16" s="3"/>
    </row>
    <row r="17" spans="1:25" ht="14.4" x14ac:dyDescent="0.3">
      <c r="E17" s="87"/>
      <c r="F17" s="3"/>
      <c r="K17" s="3"/>
      <c r="N17" s="13"/>
    </row>
    <row r="18" spans="1:25" x14ac:dyDescent="0.3">
      <c r="A18" s="83" t="s">
        <v>376</v>
      </c>
      <c r="B18" s="83" t="s">
        <v>369</v>
      </c>
      <c r="C18" s="84" t="s">
        <v>370</v>
      </c>
      <c r="D18" s="70" t="s">
        <v>377</v>
      </c>
      <c r="E18" s="87"/>
      <c r="F18" s="3"/>
      <c r="K18" s="3"/>
      <c r="N18" s="13"/>
    </row>
    <row r="19" spans="1:25" ht="14.4" x14ac:dyDescent="0.3">
      <c r="A19" s="19" t="str">
        <f>"Payment ceiling at "&amp;TEXT(C19,"0%")</f>
        <v>Payment ceiling at 95%</v>
      </c>
      <c r="B19" s="50">
        <f>B5*C19</f>
        <v>0</v>
      </c>
      <c r="C19" s="103">
        <f>Inflows!C22</f>
        <v>0.95</v>
      </c>
      <c r="D19" s="50">
        <f>B5-B19</f>
        <v>0</v>
      </c>
      <c r="E19" s="87"/>
      <c r="F19" s="3"/>
      <c r="K19" s="3"/>
      <c r="N19" s="13"/>
    </row>
    <row r="20" spans="1:25" ht="18" x14ac:dyDescent="0.3">
      <c r="A20" s="19" t="s">
        <v>379</v>
      </c>
      <c r="B20" s="98"/>
      <c r="C20" s="103">
        <f>C8</f>
        <v>0.12</v>
      </c>
      <c r="D20" s="50">
        <f>B8</f>
        <v>0</v>
      </c>
      <c r="E20" s="87"/>
      <c r="K20" s="3"/>
      <c r="N20" s="13"/>
      <c r="O20" s="157" t="s">
        <v>409</v>
      </c>
      <c r="P20" s="157"/>
      <c r="Q20" s="157"/>
      <c r="R20" s="157"/>
      <c r="S20" s="157"/>
      <c r="T20" s="157"/>
      <c r="U20" s="157"/>
      <c r="V20" s="157"/>
      <c r="W20" s="157"/>
      <c r="X20" s="157"/>
      <c r="Y20" s="157"/>
    </row>
    <row r="21" spans="1:25" ht="14.4" x14ac:dyDescent="0.3">
      <c r="A21" s="19" t="s">
        <v>380</v>
      </c>
      <c r="B21" s="50">
        <f>B14</f>
        <v>0</v>
      </c>
      <c r="C21" s="103">
        <f>C19-C20</f>
        <v>0.83</v>
      </c>
      <c r="D21" s="50">
        <f>SUM(D19:D20)</f>
        <v>0</v>
      </c>
      <c r="E21" s="87"/>
      <c r="F21" s="3"/>
      <c r="K21" s="3"/>
      <c r="N21" s="13"/>
    </row>
    <row r="22" spans="1:25" ht="14.4" x14ac:dyDescent="0.3">
      <c r="K22" s="3"/>
      <c r="M22" s="3"/>
      <c r="O22" t="s">
        <v>410</v>
      </c>
    </row>
    <row r="23" spans="1:25" ht="14.4" x14ac:dyDescent="0.3">
      <c r="A23" s="83" t="s">
        <v>411</v>
      </c>
      <c r="B23" s="70">
        <v>2028</v>
      </c>
      <c r="C23" s="70">
        <v>2029</v>
      </c>
      <c r="D23" s="70">
        <v>2030</v>
      </c>
      <c r="E23" s="70">
        <v>2031</v>
      </c>
      <c r="F23" s="70">
        <v>2032</v>
      </c>
      <c r="G23" s="70">
        <v>2033</v>
      </c>
      <c r="H23" s="70">
        <v>2034</v>
      </c>
      <c r="I23" s="70">
        <v>2035</v>
      </c>
      <c r="J23" s="70" t="s">
        <v>362</v>
      </c>
      <c r="K23" s="70" t="s">
        <v>319</v>
      </c>
      <c r="O23" s="83" t="s">
        <v>409</v>
      </c>
      <c r="P23" s="70">
        <v>2028</v>
      </c>
      <c r="Q23" s="70">
        <v>2029</v>
      </c>
      <c r="R23" s="70">
        <v>2030</v>
      </c>
      <c r="S23" s="70">
        <v>2031</v>
      </c>
      <c r="T23" s="70">
        <v>2032</v>
      </c>
      <c r="U23" s="70">
        <v>2033</v>
      </c>
      <c r="V23" s="70">
        <v>2034</v>
      </c>
      <c r="W23" s="70">
        <v>2035</v>
      </c>
      <c r="X23" s="70" t="s">
        <v>362</v>
      </c>
      <c r="Y23" s="70" t="s">
        <v>319</v>
      </c>
    </row>
    <row r="24" spans="1:25" ht="14.4" x14ac:dyDescent="0.3">
      <c r="A24" s="19" t="str">
        <f t="shared" ref="A24:J29" si="0">O24</f>
        <v>Call 1 projects</v>
      </c>
      <c r="B24" s="50">
        <f t="shared" si="0"/>
        <v>0</v>
      </c>
      <c r="C24" s="50">
        <f t="shared" si="0"/>
        <v>0</v>
      </c>
      <c r="D24" s="50">
        <f t="shared" si="0"/>
        <v>0</v>
      </c>
      <c r="E24" s="50">
        <f t="shared" si="0"/>
        <v>0</v>
      </c>
      <c r="F24" s="50">
        <f t="shared" si="0"/>
        <v>0</v>
      </c>
      <c r="G24" s="50">
        <f t="shared" si="0"/>
        <v>0</v>
      </c>
      <c r="H24" s="50">
        <f t="shared" si="0"/>
        <v>0</v>
      </c>
      <c r="I24" s="50">
        <f t="shared" si="0"/>
        <v>0</v>
      </c>
      <c r="J24" s="50">
        <f t="shared" si="0"/>
        <v>0</v>
      </c>
      <c r="K24" s="64">
        <f t="shared" ref="K24:K30" si="1">SUM(B24:J24)</f>
        <v>0</v>
      </c>
      <c r="O24" s="109" t="s">
        <v>412</v>
      </c>
      <c r="P24" s="110"/>
      <c r="Q24" s="110"/>
      <c r="R24" s="110"/>
      <c r="S24" s="110"/>
      <c r="T24" s="110"/>
      <c r="U24" s="110"/>
      <c r="V24" s="110"/>
      <c r="W24" s="110"/>
      <c r="X24" s="110"/>
      <c r="Y24" s="99">
        <f t="shared" ref="Y24:Y30" si="2">SUM(P24:X24)</f>
        <v>0</v>
      </c>
    </row>
    <row r="25" spans="1:25" ht="14.4" x14ac:dyDescent="0.3">
      <c r="A25" s="19" t="str">
        <f t="shared" si="0"/>
        <v>Call 2 projects</v>
      </c>
      <c r="B25" s="50">
        <f t="shared" si="0"/>
        <v>0</v>
      </c>
      <c r="C25" s="50">
        <f t="shared" si="0"/>
        <v>0</v>
      </c>
      <c r="D25" s="50">
        <f t="shared" si="0"/>
        <v>0</v>
      </c>
      <c r="E25" s="50">
        <f t="shared" si="0"/>
        <v>0</v>
      </c>
      <c r="F25" s="50">
        <f t="shared" si="0"/>
        <v>0</v>
      </c>
      <c r="G25" s="50">
        <f t="shared" si="0"/>
        <v>0</v>
      </c>
      <c r="H25" s="50">
        <f t="shared" si="0"/>
        <v>0</v>
      </c>
      <c r="I25" s="50">
        <f t="shared" si="0"/>
        <v>0</v>
      </c>
      <c r="J25" s="50">
        <f t="shared" si="0"/>
        <v>0</v>
      </c>
      <c r="K25" s="64">
        <f t="shared" si="1"/>
        <v>0</v>
      </c>
      <c r="O25" s="109" t="s">
        <v>413</v>
      </c>
      <c r="P25" s="110"/>
      <c r="Q25" s="110"/>
      <c r="R25" s="110"/>
      <c r="S25" s="110"/>
      <c r="T25" s="110"/>
      <c r="U25" s="110"/>
      <c r="V25" s="110"/>
      <c r="W25" s="110"/>
      <c r="X25" s="110"/>
      <c r="Y25" s="99">
        <f t="shared" si="2"/>
        <v>0</v>
      </c>
    </row>
    <row r="26" spans="1:25" ht="14.4" x14ac:dyDescent="0.3">
      <c r="A26" s="19" t="str">
        <f t="shared" si="0"/>
        <v>Call 3 projects</v>
      </c>
      <c r="B26" s="50">
        <f t="shared" si="0"/>
        <v>0</v>
      </c>
      <c r="C26" s="50">
        <f t="shared" si="0"/>
        <v>0</v>
      </c>
      <c r="D26" s="50">
        <f t="shared" si="0"/>
        <v>0</v>
      </c>
      <c r="E26" s="50">
        <f t="shared" si="0"/>
        <v>0</v>
      </c>
      <c r="F26" s="50">
        <f t="shared" si="0"/>
        <v>0</v>
      </c>
      <c r="G26" s="50">
        <f t="shared" si="0"/>
        <v>0</v>
      </c>
      <c r="H26" s="50">
        <f t="shared" si="0"/>
        <v>0</v>
      </c>
      <c r="I26" s="50">
        <f t="shared" si="0"/>
        <v>0</v>
      </c>
      <c r="J26" s="50">
        <f t="shared" si="0"/>
        <v>0</v>
      </c>
      <c r="K26" s="64">
        <f t="shared" si="1"/>
        <v>0</v>
      </c>
      <c r="O26" s="109" t="s">
        <v>414</v>
      </c>
      <c r="P26" s="110"/>
      <c r="Q26" s="110"/>
      <c r="R26" s="110"/>
      <c r="S26" s="110"/>
      <c r="T26" s="110"/>
      <c r="U26" s="110"/>
      <c r="V26" s="110"/>
      <c r="W26" s="110"/>
      <c r="X26" s="110"/>
      <c r="Y26" s="99">
        <f t="shared" si="2"/>
        <v>0</v>
      </c>
    </row>
    <row r="27" spans="1:25" ht="14.4" x14ac:dyDescent="0.3">
      <c r="A27" s="19" t="str">
        <f t="shared" si="0"/>
        <v>Call 4  projects</v>
      </c>
      <c r="B27" s="50">
        <f t="shared" si="0"/>
        <v>0</v>
      </c>
      <c r="C27" s="50">
        <f t="shared" si="0"/>
        <v>0</v>
      </c>
      <c r="D27" s="50">
        <f t="shared" si="0"/>
        <v>0</v>
      </c>
      <c r="E27" s="50">
        <f t="shared" si="0"/>
        <v>0</v>
      </c>
      <c r="F27" s="50">
        <f t="shared" si="0"/>
        <v>0</v>
      </c>
      <c r="G27" s="50">
        <f t="shared" si="0"/>
        <v>0</v>
      </c>
      <c r="H27" s="50">
        <f t="shared" si="0"/>
        <v>0</v>
      </c>
      <c r="I27" s="50">
        <f t="shared" si="0"/>
        <v>0</v>
      </c>
      <c r="J27" s="50">
        <f t="shared" si="0"/>
        <v>0</v>
      </c>
      <c r="K27" s="64">
        <f t="shared" si="1"/>
        <v>0</v>
      </c>
      <c r="O27" s="109" t="s">
        <v>415</v>
      </c>
      <c r="P27" s="110"/>
      <c r="Q27" s="110"/>
      <c r="R27" s="110"/>
      <c r="S27" s="110"/>
      <c r="T27" s="110"/>
      <c r="U27" s="110"/>
      <c r="V27" s="110"/>
      <c r="W27" s="110"/>
      <c r="X27" s="110"/>
      <c r="Y27" s="99">
        <f t="shared" si="2"/>
        <v>0</v>
      </c>
    </row>
    <row r="28" spans="1:25" ht="14.4" x14ac:dyDescent="0.3">
      <c r="A28" s="19" t="str">
        <f t="shared" si="0"/>
        <v>Call 5  projects</v>
      </c>
      <c r="B28" s="50">
        <f t="shared" si="0"/>
        <v>0</v>
      </c>
      <c r="C28" s="50">
        <f t="shared" si="0"/>
        <v>0</v>
      </c>
      <c r="D28" s="50">
        <f t="shared" si="0"/>
        <v>0</v>
      </c>
      <c r="E28" s="50">
        <f t="shared" si="0"/>
        <v>0</v>
      </c>
      <c r="F28" s="50">
        <f t="shared" si="0"/>
        <v>0</v>
      </c>
      <c r="G28" s="50">
        <f t="shared" si="0"/>
        <v>0</v>
      </c>
      <c r="H28" s="50">
        <f t="shared" si="0"/>
        <v>0</v>
      </c>
      <c r="I28" s="50">
        <f t="shared" si="0"/>
        <v>0</v>
      </c>
      <c r="J28" s="50">
        <f t="shared" si="0"/>
        <v>0</v>
      </c>
      <c r="K28" s="64">
        <f t="shared" si="1"/>
        <v>0</v>
      </c>
      <c r="O28" s="109" t="s">
        <v>416</v>
      </c>
      <c r="P28" s="110"/>
      <c r="Q28" s="110"/>
      <c r="R28" s="110"/>
      <c r="S28" s="110"/>
      <c r="T28" s="110"/>
      <c r="U28" s="110"/>
      <c r="V28" s="110"/>
      <c r="W28" s="110"/>
      <c r="X28" s="110"/>
      <c r="Y28" s="99">
        <f t="shared" si="2"/>
        <v>0</v>
      </c>
    </row>
    <row r="29" spans="1:25" ht="14.4" x14ac:dyDescent="0.3">
      <c r="A29" s="19" t="str">
        <f t="shared" si="0"/>
        <v>Call 6 projects</v>
      </c>
      <c r="B29" s="50">
        <f t="shared" si="0"/>
        <v>0</v>
      </c>
      <c r="C29" s="50">
        <f t="shared" si="0"/>
        <v>0</v>
      </c>
      <c r="D29" s="50">
        <f t="shared" si="0"/>
        <v>0</v>
      </c>
      <c r="E29" s="50">
        <f t="shared" si="0"/>
        <v>0</v>
      </c>
      <c r="F29" s="50">
        <f t="shared" si="0"/>
        <v>0</v>
      </c>
      <c r="G29" s="50">
        <f t="shared" si="0"/>
        <v>0</v>
      </c>
      <c r="H29" s="50">
        <f t="shared" si="0"/>
        <v>0</v>
      </c>
      <c r="I29" s="50">
        <f t="shared" si="0"/>
        <v>0</v>
      </c>
      <c r="J29" s="50">
        <f t="shared" si="0"/>
        <v>0</v>
      </c>
      <c r="K29" s="64">
        <f t="shared" si="1"/>
        <v>0</v>
      </c>
      <c r="O29" s="109" t="s">
        <v>417</v>
      </c>
      <c r="P29" s="110"/>
      <c r="Q29" s="110"/>
      <c r="R29" s="110"/>
      <c r="S29" s="110"/>
      <c r="T29" s="110"/>
      <c r="U29" s="110"/>
      <c r="V29" s="110"/>
      <c r="W29" s="110"/>
      <c r="X29" s="110"/>
      <c r="Y29" s="99">
        <f t="shared" si="2"/>
        <v>0</v>
      </c>
    </row>
    <row r="30" spans="1:25" ht="14.4" x14ac:dyDescent="0.3">
      <c r="A30" s="19" t="s">
        <v>454</v>
      </c>
      <c r="B30" s="50">
        <f t="shared" ref="B30:J30" si="3">SUM(B24:B29)</f>
        <v>0</v>
      </c>
      <c r="C30" s="64">
        <f t="shared" si="3"/>
        <v>0</v>
      </c>
      <c r="D30" s="64">
        <f t="shared" si="3"/>
        <v>0</v>
      </c>
      <c r="E30" s="64">
        <f t="shared" si="3"/>
        <v>0</v>
      </c>
      <c r="F30" s="64">
        <f t="shared" si="3"/>
        <v>0</v>
      </c>
      <c r="G30" s="64">
        <f t="shared" si="3"/>
        <v>0</v>
      </c>
      <c r="H30" s="64">
        <f t="shared" si="3"/>
        <v>0</v>
      </c>
      <c r="I30" s="64">
        <f t="shared" si="3"/>
        <v>0</v>
      </c>
      <c r="J30" s="64">
        <f t="shared" si="3"/>
        <v>0</v>
      </c>
      <c r="K30" s="64">
        <f t="shared" si="1"/>
        <v>0</v>
      </c>
      <c r="O30" s="19" t="s">
        <v>454</v>
      </c>
      <c r="P30" s="99">
        <f t="shared" ref="P30:X30" si="4">SUM(P24:P29)</f>
        <v>0</v>
      </c>
      <c r="Q30" s="99">
        <f t="shared" si="4"/>
        <v>0</v>
      </c>
      <c r="R30" s="99">
        <f t="shared" si="4"/>
        <v>0</v>
      </c>
      <c r="S30" s="99">
        <f t="shared" si="4"/>
        <v>0</v>
      </c>
      <c r="T30" s="99">
        <f t="shared" si="4"/>
        <v>0</v>
      </c>
      <c r="U30" s="99">
        <f t="shared" si="4"/>
        <v>0</v>
      </c>
      <c r="V30" s="99">
        <f t="shared" si="4"/>
        <v>0</v>
      </c>
      <c r="W30" s="99">
        <f t="shared" si="4"/>
        <v>0</v>
      </c>
      <c r="X30" s="99">
        <f t="shared" si="4"/>
        <v>0</v>
      </c>
      <c r="Y30" s="99">
        <f t="shared" si="2"/>
        <v>0</v>
      </c>
    </row>
    <row r="32" spans="1:25" ht="14.4" x14ac:dyDescent="0.3">
      <c r="A32" s="83" t="s">
        <v>419</v>
      </c>
      <c r="B32" s="70">
        <v>2028</v>
      </c>
      <c r="C32" s="70">
        <v>2029</v>
      </c>
      <c r="D32" s="70">
        <v>2030</v>
      </c>
      <c r="E32" s="70">
        <v>2031</v>
      </c>
      <c r="F32" s="70">
        <v>2032</v>
      </c>
      <c r="G32" s="70">
        <v>2033</v>
      </c>
      <c r="H32" s="70">
        <v>2034</v>
      </c>
      <c r="I32" s="70">
        <v>2035</v>
      </c>
      <c r="J32" s="70" t="s">
        <v>362</v>
      </c>
      <c r="K32" s="70" t="s">
        <v>319</v>
      </c>
      <c r="L32" s="11"/>
    </row>
    <row r="33" spans="1:25" ht="14.4" x14ac:dyDescent="0.3">
      <c r="A33" s="19" t="s">
        <v>420</v>
      </c>
      <c r="B33" s="50">
        <f>IF(Inflows!$J$7=0,0,Inflows!B28/Inflows!$J$7*$B$5)</f>
        <v>0</v>
      </c>
      <c r="C33" s="50">
        <f>IF(Inflows!$J$7=0,0,Inflows!C28/Inflows!$J$7*$B$5)</f>
        <v>0</v>
      </c>
      <c r="D33" s="50">
        <f>IF(Inflows!$J$7=0,0,Inflows!D28/Inflows!$J$7*$B$5)</f>
        <v>0</v>
      </c>
      <c r="E33" s="50">
        <f>IF(Inflows!$J$7=0,0,Inflows!E28/Inflows!$J$7*$B$5)</f>
        <v>0</v>
      </c>
      <c r="F33" s="50">
        <f>IF(Inflows!$J$7=0,0,Inflows!F28/Inflows!$J$7*$B$5)</f>
        <v>0</v>
      </c>
      <c r="G33" s="50">
        <f>IF(Inflows!$J$7=0,0,Inflows!G28/Inflows!$J$7*$B$5)</f>
        <v>0</v>
      </c>
      <c r="H33" s="50">
        <f>IF(Inflows!$J$7=0,0,Inflows!H28/Inflows!$J$7*$B$5)</f>
        <v>0</v>
      </c>
      <c r="I33" s="50">
        <f>IF(Inflows!$J$7=0,0,Inflows!I28/Inflows!$J$7*$B$5)</f>
        <v>0</v>
      </c>
      <c r="J33" s="88"/>
      <c r="K33" s="64">
        <f>SUM(B33:J33)</f>
        <v>0</v>
      </c>
      <c r="L33" s="1"/>
    </row>
    <row r="34" spans="1:25" ht="18" x14ac:dyDescent="0.3">
      <c r="A34" s="19" t="s">
        <v>383</v>
      </c>
      <c r="B34" s="50">
        <f>'pay out values'!P188</f>
        <v>0</v>
      </c>
      <c r="C34" s="50">
        <f>'pay out values'!Q188</f>
        <v>0</v>
      </c>
      <c r="D34" s="50">
        <f>'pay out values'!R188</f>
        <v>0</v>
      </c>
      <c r="E34" s="50">
        <f>'pay out values'!S188</f>
        <v>0</v>
      </c>
      <c r="F34" s="50">
        <f>'pay out values'!T188</f>
        <v>0</v>
      </c>
      <c r="G34" s="50">
        <f>'pay out values'!U188</f>
        <v>0</v>
      </c>
      <c r="H34" s="50">
        <f>'pay out values'!V188</f>
        <v>0</v>
      </c>
      <c r="I34" s="50">
        <f>'pay out values'!W188</f>
        <v>0</v>
      </c>
      <c r="J34" s="88"/>
      <c r="K34" s="64">
        <f>SUM(B34:J34)</f>
        <v>0</v>
      </c>
      <c r="O34" s="157" t="s">
        <v>421</v>
      </c>
      <c r="P34" s="157"/>
      <c r="Q34" s="157"/>
      <c r="R34" s="157"/>
      <c r="S34" s="157"/>
      <c r="T34" s="157"/>
      <c r="U34" s="157"/>
      <c r="V34" s="157"/>
      <c r="W34" s="157"/>
      <c r="X34" s="157"/>
      <c r="Y34" s="157"/>
    </row>
    <row r="35" spans="1:25" ht="14.4" x14ac:dyDescent="0.3">
      <c r="A35" s="19" t="s">
        <v>384</v>
      </c>
      <c r="B35" s="50">
        <f>B34</f>
        <v>0</v>
      </c>
      <c r="C35" s="50">
        <f t="shared" ref="C35:I35" si="5">B35+C34</f>
        <v>0</v>
      </c>
      <c r="D35" s="50">
        <f t="shared" si="5"/>
        <v>0</v>
      </c>
      <c r="E35" s="50">
        <f t="shared" si="5"/>
        <v>0</v>
      </c>
      <c r="F35" s="50">
        <f t="shared" si="5"/>
        <v>0</v>
      </c>
      <c r="G35" s="50">
        <f t="shared" si="5"/>
        <v>0</v>
      </c>
      <c r="H35" s="50">
        <f t="shared" si="5"/>
        <v>0</v>
      </c>
      <c r="I35" s="50">
        <f t="shared" si="5"/>
        <v>0</v>
      </c>
      <c r="J35" s="88"/>
      <c r="K35" s="107"/>
    </row>
    <row r="36" spans="1:25" ht="14.4" x14ac:dyDescent="0.3">
      <c r="A36" s="19" t="s">
        <v>385</v>
      </c>
      <c r="B36" s="50">
        <f>B35+SUM($B33:B33)</f>
        <v>0</v>
      </c>
      <c r="C36" s="50">
        <f>C35+SUM($B33:C33)</f>
        <v>0</v>
      </c>
      <c r="D36" s="50">
        <f>D35+SUM($B33:D33)</f>
        <v>0</v>
      </c>
      <c r="E36" s="50">
        <f>E35+SUM($B33:E33)</f>
        <v>0</v>
      </c>
      <c r="F36" s="50">
        <f>F35+SUM($B33:F33)</f>
        <v>0</v>
      </c>
      <c r="G36" s="50">
        <f>G35+SUM($B33:G33)</f>
        <v>0</v>
      </c>
      <c r="H36" s="50">
        <f>H35+SUM($B33:H33)</f>
        <v>0</v>
      </c>
      <c r="I36" s="50">
        <f>I35+SUM($B33:I33)</f>
        <v>0</v>
      </c>
      <c r="J36" s="88"/>
      <c r="K36" s="107"/>
      <c r="O36" s="177" t="s">
        <v>422</v>
      </c>
      <c r="P36" s="178"/>
      <c r="Q36" s="178"/>
      <c r="R36" s="178"/>
      <c r="S36" s="178"/>
      <c r="T36" s="178"/>
      <c r="U36" s="178"/>
      <c r="V36" s="178"/>
    </row>
    <row r="37" spans="1:25" ht="14.4" x14ac:dyDescent="0.3">
      <c r="A37" s="19" t="str">
        <f>"amount above "&amp;TEXT($C$19,"0%")&amp;" ceiling"</f>
        <v>amount above 95% ceiling</v>
      </c>
      <c r="B37" s="50">
        <f t="shared" ref="B37:I37" si="6">IF(B36&gt;$B$19, B36-$B$19, 0)</f>
        <v>0</v>
      </c>
      <c r="C37" s="50">
        <f t="shared" si="6"/>
        <v>0</v>
      </c>
      <c r="D37" s="50">
        <f t="shared" si="6"/>
        <v>0</v>
      </c>
      <c r="E37" s="50">
        <f t="shared" si="6"/>
        <v>0</v>
      </c>
      <c r="F37" s="50">
        <f t="shared" si="6"/>
        <v>0</v>
      </c>
      <c r="G37" s="50">
        <f t="shared" si="6"/>
        <v>0</v>
      </c>
      <c r="H37" s="50">
        <f t="shared" si="6"/>
        <v>0</v>
      </c>
      <c r="I37" s="50">
        <f t="shared" si="6"/>
        <v>0</v>
      </c>
      <c r="J37" s="88"/>
      <c r="K37" s="107"/>
      <c r="O37" s="83" t="s">
        <v>423</v>
      </c>
      <c r="P37" s="70" t="s">
        <v>424</v>
      </c>
      <c r="Q37" s="70" t="s">
        <v>425</v>
      </c>
      <c r="R37" s="70" t="s">
        <v>426</v>
      </c>
      <c r="S37" s="70" t="s">
        <v>427</v>
      </c>
      <c r="T37" s="70" t="s">
        <v>428</v>
      </c>
      <c r="U37" s="70" t="s">
        <v>429</v>
      </c>
      <c r="V37" s="70" t="s">
        <v>319</v>
      </c>
    </row>
    <row r="38" spans="1:25" ht="14.4" x14ac:dyDescent="0.3">
      <c r="A38" s="19" t="str">
        <f>"clearance of pre-financing AND impact of "&amp;TEXT($C$19,"0%")&amp;" ceiling"</f>
        <v>clearance of pre-financing AND impact of 95% ceiling</v>
      </c>
      <c r="B38" s="50">
        <f>MIN(B36,$B$19)-B33-B34</f>
        <v>0</v>
      </c>
      <c r="C38" s="50">
        <f t="shared" ref="C38:I38" si="7">MIN(C36,$B$19)-MIN(B36,$B$19)-C33-C34</f>
        <v>0</v>
      </c>
      <c r="D38" s="50">
        <f t="shared" si="7"/>
        <v>0</v>
      </c>
      <c r="E38" s="50">
        <f t="shared" si="7"/>
        <v>0</v>
      </c>
      <c r="F38" s="50">
        <f t="shared" si="7"/>
        <v>0</v>
      </c>
      <c r="G38" s="50">
        <f t="shared" si="7"/>
        <v>0</v>
      </c>
      <c r="H38" s="50">
        <f t="shared" si="7"/>
        <v>0</v>
      </c>
      <c r="I38" s="50">
        <f t="shared" si="7"/>
        <v>0</v>
      </c>
      <c r="J38" s="88"/>
      <c r="K38" s="64">
        <f>SUM(B38:J38)</f>
        <v>0</v>
      </c>
      <c r="O38" s="83" t="s">
        <v>430</v>
      </c>
      <c r="P38" s="111">
        <v>0.05</v>
      </c>
      <c r="Q38" s="111">
        <v>0.15</v>
      </c>
      <c r="R38" s="111">
        <v>0.35</v>
      </c>
      <c r="S38" s="111">
        <v>0.25</v>
      </c>
      <c r="T38" s="111">
        <v>0.15</v>
      </c>
      <c r="U38" s="111">
        <v>0.05</v>
      </c>
      <c r="V38" s="100">
        <f>SUM(P38:U38)</f>
        <v>1</v>
      </c>
    </row>
    <row r="39" spans="1:25" x14ac:dyDescent="0.3">
      <c r="A39" s="19" t="str">
        <f>TEXT(1-$C$19,"0%")&amp;" paid after programme closure"</f>
        <v>5% paid after programme closure</v>
      </c>
      <c r="B39" s="89"/>
      <c r="C39" s="90"/>
      <c r="D39" s="90"/>
      <c r="E39" s="90"/>
      <c r="F39" s="90"/>
      <c r="G39" s="90"/>
      <c r="H39" s="90"/>
      <c r="I39" s="91"/>
      <c r="J39" s="50">
        <f>B15</f>
        <v>0</v>
      </c>
      <c r="K39" s="64">
        <f>SUM(B39:J39)</f>
        <v>0</v>
      </c>
      <c r="O39" s="83" t="s">
        <v>431</v>
      </c>
      <c r="P39" s="95">
        <f t="shared" ref="P39:U39" si="8">P38*$T$42</f>
        <v>0</v>
      </c>
      <c r="Q39" s="95">
        <f t="shared" si="8"/>
        <v>0</v>
      </c>
      <c r="R39" s="95">
        <f t="shared" si="8"/>
        <v>0</v>
      </c>
      <c r="S39" s="95">
        <f t="shared" si="8"/>
        <v>0</v>
      </c>
      <c r="T39" s="95">
        <f t="shared" si="8"/>
        <v>0</v>
      </c>
      <c r="U39" s="95">
        <f t="shared" si="8"/>
        <v>0</v>
      </c>
      <c r="V39" s="95">
        <f>SUM(P39:U39)</f>
        <v>0</v>
      </c>
    </row>
    <row r="40" spans="1:25" ht="14.4" x14ac:dyDescent="0.3">
      <c r="A40" s="19" t="s">
        <v>386</v>
      </c>
      <c r="B40" s="64">
        <f t="shared" ref="B40:J40" si="9">B34+B38+B39</f>
        <v>0</v>
      </c>
      <c r="C40" s="64">
        <f t="shared" si="9"/>
        <v>0</v>
      </c>
      <c r="D40" s="64">
        <f t="shared" si="9"/>
        <v>0</v>
      </c>
      <c r="E40" s="64">
        <f t="shared" si="9"/>
        <v>0</v>
      </c>
      <c r="F40" s="64">
        <f t="shared" si="9"/>
        <v>0</v>
      </c>
      <c r="G40" s="64">
        <f t="shared" si="9"/>
        <v>0</v>
      </c>
      <c r="H40" s="64">
        <f t="shared" si="9"/>
        <v>0</v>
      </c>
      <c r="I40" s="64">
        <f t="shared" si="9"/>
        <v>0</v>
      </c>
      <c r="J40" s="64">
        <f t="shared" si="9"/>
        <v>0</v>
      </c>
      <c r="K40" s="64">
        <f>SUM(B40:J40)</f>
        <v>0</v>
      </c>
      <c r="L40" s="1"/>
    </row>
    <row r="41" spans="1:25" ht="14.4" x14ac:dyDescent="0.3">
      <c r="A41" s="19" t="s">
        <v>387</v>
      </c>
      <c r="B41" s="93">
        <f t="shared" ref="B41:I41" si="10">IF(B34=0,0,B40/B34)</f>
        <v>0</v>
      </c>
      <c r="C41" s="93">
        <f t="shared" si="10"/>
        <v>0</v>
      </c>
      <c r="D41" s="93">
        <f t="shared" si="10"/>
        <v>0</v>
      </c>
      <c r="E41" s="93">
        <f t="shared" si="10"/>
        <v>0</v>
      </c>
      <c r="F41" s="93">
        <f t="shared" si="10"/>
        <v>0</v>
      </c>
      <c r="G41" s="93">
        <f t="shared" si="10"/>
        <v>0</v>
      </c>
      <c r="H41" s="93">
        <f t="shared" si="10"/>
        <v>0</v>
      </c>
      <c r="I41" s="93">
        <f t="shared" si="10"/>
        <v>0</v>
      </c>
      <c r="J41" s="98"/>
      <c r="K41" s="98"/>
      <c r="L41" s="1"/>
      <c r="P41" s="13" t="s">
        <v>432</v>
      </c>
      <c r="T41" t="s">
        <v>433</v>
      </c>
    </row>
    <row r="42" spans="1:25" ht="14.4" x14ac:dyDescent="0.3">
      <c r="A42" s="106" t="s">
        <v>434</v>
      </c>
      <c r="O42" s="112" t="s">
        <v>435</v>
      </c>
      <c r="P42" s="113"/>
      <c r="Q42" s="112" t="s">
        <v>436</v>
      </c>
      <c r="R42" s="113"/>
      <c r="S42" s="114"/>
      <c r="T42" s="110"/>
    </row>
    <row r="43" spans="1:25" ht="14.4" x14ac:dyDescent="0.3">
      <c r="O43" s="112" t="s">
        <v>437</v>
      </c>
      <c r="P43" s="113"/>
      <c r="Q43" s="112" t="s">
        <v>438</v>
      </c>
      <c r="R43" s="113"/>
      <c r="S43" s="114"/>
      <c r="T43" s="114"/>
    </row>
    <row r="44" spans="1:25" ht="14.4" x14ac:dyDescent="0.3">
      <c r="A44" s="83" t="s">
        <v>404</v>
      </c>
      <c r="B44" s="70">
        <v>2028</v>
      </c>
      <c r="C44" s="70">
        <v>2029</v>
      </c>
      <c r="D44" s="70">
        <v>2030</v>
      </c>
      <c r="E44" s="70">
        <v>2031</v>
      </c>
      <c r="F44" s="70">
        <v>2032</v>
      </c>
      <c r="G44" s="70">
        <v>2033</v>
      </c>
      <c r="H44" s="70">
        <v>2034</v>
      </c>
      <c r="I44" s="70">
        <v>2035</v>
      </c>
      <c r="J44" s="70" t="s">
        <v>362</v>
      </c>
      <c r="K44" s="70" t="s">
        <v>319</v>
      </c>
      <c r="O44" s="112" t="s">
        <v>439</v>
      </c>
      <c r="P44" s="113"/>
      <c r="Q44" s="112" t="s">
        <v>440</v>
      </c>
      <c r="R44" s="113"/>
      <c r="S44" s="114"/>
      <c r="T44" s="114" t="s">
        <v>441</v>
      </c>
    </row>
    <row r="45" spans="1:25" ht="14.4" x14ac:dyDescent="0.3">
      <c r="A45" s="19" t="s">
        <v>442</v>
      </c>
      <c r="B45" s="50">
        <f t="shared" ref="B45:J45" si="11">B33+B40</f>
        <v>0</v>
      </c>
      <c r="C45" s="50">
        <f t="shared" si="11"/>
        <v>0</v>
      </c>
      <c r="D45" s="50">
        <f t="shared" si="11"/>
        <v>0</v>
      </c>
      <c r="E45" s="50">
        <f t="shared" si="11"/>
        <v>0</v>
      </c>
      <c r="F45" s="50">
        <f t="shared" si="11"/>
        <v>0</v>
      </c>
      <c r="G45" s="50">
        <f t="shared" si="11"/>
        <v>0</v>
      </c>
      <c r="H45" s="50">
        <f t="shared" si="11"/>
        <v>0</v>
      </c>
      <c r="I45" s="50">
        <f t="shared" si="11"/>
        <v>0</v>
      </c>
      <c r="J45" s="50">
        <f t="shared" si="11"/>
        <v>0</v>
      </c>
      <c r="K45" s="64">
        <f>SUM(B45:J45)</f>
        <v>0</v>
      </c>
    </row>
    <row r="46" spans="1:25" ht="14.4" x14ac:dyDescent="0.3">
      <c r="A46" s="19" t="s">
        <v>443</v>
      </c>
      <c r="B46" s="50">
        <f t="shared" ref="B46:J46" si="12">P30</f>
        <v>0</v>
      </c>
      <c r="C46" s="50">
        <f t="shared" si="12"/>
        <v>0</v>
      </c>
      <c r="D46" s="50">
        <f t="shared" si="12"/>
        <v>0</v>
      </c>
      <c r="E46" s="50">
        <f t="shared" si="12"/>
        <v>0</v>
      </c>
      <c r="F46" s="50">
        <f t="shared" si="12"/>
        <v>0</v>
      </c>
      <c r="G46" s="50">
        <f t="shared" si="12"/>
        <v>0</v>
      </c>
      <c r="H46" s="50">
        <f t="shared" si="12"/>
        <v>0</v>
      </c>
      <c r="I46" s="50">
        <f t="shared" si="12"/>
        <v>0</v>
      </c>
      <c r="J46" s="50">
        <f t="shared" si="12"/>
        <v>0</v>
      </c>
      <c r="K46" s="64">
        <f>SUM(B46:J46)</f>
        <v>0</v>
      </c>
      <c r="O46" s="83" t="s">
        <v>409</v>
      </c>
      <c r="P46" s="70">
        <v>2028</v>
      </c>
      <c r="Q46" s="70">
        <v>2029</v>
      </c>
      <c r="R46" s="70">
        <v>2030</v>
      </c>
      <c r="S46" s="70">
        <v>2031</v>
      </c>
      <c r="T46" s="70">
        <v>2032</v>
      </c>
      <c r="U46" s="70">
        <v>2033</v>
      </c>
      <c r="V46" s="70">
        <v>2034</v>
      </c>
      <c r="W46" s="70">
        <v>2035</v>
      </c>
      <c r="X46" s="70" t="s">
        <v>362</v>
      </c>
      <c r="Y46" s="70" t="s">
        <v>319</v>
      </c>
    </row>
    <row r="47" spans="1:25" ht="14.4" x14ac:dyDescent="0.3">
      <c r="A47" s="19" t="s">
        <v>444</v>
      </c>
      <c r="B47" s="50">
        <f t="shared" ref="B47:J47" si="13">B45-B46</f>
        <v>0</v>
      </c>
      <c r="C47" s="50">
        <f t="shared" si="13"/>
        <v>0</v>
      </c>
      <c r="D47" s="50">
        <f t="shared" si="13"/>
        <v>0</v>
      </c>
      <c r="E47" s="50">
        <f t="shared" si="13"/>
        <v>0</v>
      </c>
      <c r="F47" s="50">
        <f t="shared" si="13"/>
        <v>0</v>
      </c>
      <c r="G47" s="50">
        <f t="shared" si="13"/>
        <v>0</v>
      </c>
      <c r="H47" s="50">
        <f t="shared" si="13"/>
        <v>0</v>
      </c>
      <c r="I47" s="50">
        <f t="shared" si="13"/>
        <v>0</v>
      </c>
      <c r="J47" s="50">
        <f t="shared" si="13"/>
        <v>0</v>
      </c>
      <c r="K47" s="98"/>
      <c r="O47" s="113" t="s">
        <v>412</v>
      </c>
      <c r="P47" s="110"/>
      <c r="Q47" s="110">
        <f>$P$42*P$39</f>
        <v>0</v>
      </c>
      <c r="R47" s="110">
        <f>$P$42*(Q$39+R$39)</f>
        <v>0</v>
      </c>
      <c r="S47" s="110">
        <f>$P$42*(S$39+T$39)</f>
        <v>0</v>
      </c>
      <c r="T47" s="110">
        <f>$P$42*U$39</f>
        <v>0</v>
      </c>
      <c r="U47" s="110"/>
      <c r="V47" s="110"/>
      <c r="W47" s="110"/>
      <c r="X47" s="110"/>
      <c r="Y47" s="99">
        <f t="shared" ref="Y47:Y53" si="14">SUM(P47:X47)</f>
        <v>0</v>
      </c>
    </row>
    <row r="48" spans="1:25" ht="14.4" x14ac:dyDescent="0.3">
      <c r="A48" s="19" t="s">
        <v>445</v>
      </c>
      <c r="B48" s="50">
        <f>B47</f>
        <v>0</v>
      </c>
      <c r="C48" s="50">
        <f t="shared" ref="C48:J48" si="15">B48+C47</f>
        <v>0</v>
      </c>
      <c r="D48" s="50">
        <f t="shared" si="15"/>
        <v>0</v>
      </c>
      <c r="E48" s="50">
        <f t="shared" si="15"/>
        <v>0</v>
      </c>
      <c r="F48" s="50">
        <f t="shared" si="15"/>
        <v>0</v>
      </c>
      <c r="G48" s="50">
        <f t="shared" si="15"/>
        <v>0</v>
      </c>
      <c r="H48" s="50">
        <f t="shared" si="15"/>
        <v>0</v>
      </c>
      <c r="I48" s="50">
        <f t="shared" si="15"/>
        <v>0</v>
      </c>
      <c r="J48" s="50">
        <f t="shared" si="15"/>
        <v>0</v>
      </c>
      <c r="K48" s="98"/>
      <c r="O48" s="113" t="s">
        <v>413</v>
      </c>
      <c r="P48" s="110"/>
      <c r="Q48" s="110"/>
      <c r="R48" s="110">
        <f>$P$43*P$39</f>
        <v>0</v>
      </c>
      <c r="S48" s="110">
        <f>$P$43*(Q$39+R$39)</f>
        <v>0</v>
      </c>
      <c r="T48" s="110">
        <f>$P$43*(S$39+T$39)</f>
        <v>0</v>
      </c>
      <c r="U48" s="110">
        <f>$P$43*U$39</f>
        <v>0</v>
      </c>
      <c r="V48" s="110"/>
      <c r="W48" s="110"/>
      <c r="X48" s="110"/>
      <c r="Y48" s="99">
        <f t="shared" si="14"/>
        <v>0</v>
      </c>
    </row>
    <row r="49" spans="1:25" ht="14.4" x14ac:dyDescent="0.3">
      <c r="O49" s="113" t="s">
        <v>414</v>
      </c>
      <c r="P49" s="110"/>
      <c r="Q49" s="110"/>
      <c r="R49" s="110"/>
      <c r="S49" s="110">
        <f>$P$44*P$39</f>
        <v>0</v>
      </c>
      <c r="T49" s="110">
        <f>$P$44*(Q$39+R$39)</f>
        <v>0</v>
      </c>
      <c r="U49" s="110">
        <f>$P$44*(S$39+T$39)</f>
        <v>0</v>
      </c>
      <c r="V49" s="110">
        <f>$P$44*U$39</f>
        <v>0</v>
      </c>
      <c r="W49" s="110"/>
      <c r="X49" s="110"/>
      <c r="Y49" s="99">
        <f t="shared" si="14"/>
        <v>0</v>
      </c>
    </row>
    <row r="50" spans="1:25" ht="14.4" x14ac:dyDescent="0.3">
      <c r="O50" s="113" t="s">
        <v>415</v>
      </c>
      <c r="P50" s="110"/>
      <c r="Q50" s="110"/>
      <c r="R50" s="110"/>
      <c r="S50" s="110"/>
      <c r="T50" s="110"/>
      <c r="U50" s="110"/>
      <c r="V50" s="110"/>
      <c r="W50" s="110"/>
      <c r="X50" s="110"/>
      <c r="Y50" s="99">
        <f t="shared" si="14"/>
        <v>0</v>
      </c>
    </row>
    <row r="51" spans="1:25" ht="14.4" x14ac:dyDescent="0.3">
      <c r="A51" s="101" t="s">
        <v>446</v>
      </c>
      <c r="B51" s="70">
        <v>2028</v>
      </c>
      <c r="C51" s="70">
        <v>2029</v>
      </c>
      <c r="D51" s="70">
        <v>2030</v>
      </c>
      <c r="E51" s="70">
        <v>2031</v>
      </c>
      <c r="F51" s="70">
        <v>2032</v>
      </c>
      <c r="G51" s="70">
        <v>2033</v>
      </c>
      <c r="H51" s="70">
        <v>2034</v>
      </c>
      <c r="I51" s="70">
        <v>2035</v>
      </c>
      <c r="J51" s="70" t="s">
        <v>362</v>
      </c>
      <c r="O51" s="113" t="s">
        <v>416</v>
      </c>
      <c r="P51" s="110"/>
      <c r="Q51" s="110"/>
      <c r="R51" s="110"/>
      <c r="S51" s="110"/>
      <c r="T51" s="110"/>
      <c r="U51" s="110"/>
      <c r="V51" s="110"/>
      <c r="W51" s="110"/>
      <c r="X51" s="110"/>
      <c r="Y51" s="99">
        <f t="shared" si="14"/>
        <v>0</v>
      </c>
    </row>
    <row r="52" spans="1:25" ht="14.4" x14ac:dyDescent="0.3">
      <c r="A52" s="19" t="s">
        <v>405</v>
      </c>
      <c r="B52" s="50">
        <f>B45</f>
        <v>0</v>
      </c>
      <c r="C52" s="50">
        <f t="shared" ref="C52:J53" si="16">B52+C45</f>
        <v>0</v>
      </c>
      <c r="D52" s="50">
        <f t="shared" si="16"/>
        <v>0</v>
      </c>
      <c r="E52" s="50">
        <f t="shared" si="16"/>
        <v>0</v>
      </c>
      <c r="F52" s="50">
        <f t="shared" si="16"/>
        <v>0</v>
      </c>
      <c r="G52" s="50">
        <f t="shared" si="16"/>
        <v>0</v>
      </c>
      <c r="H52" s="50">
        <f t="shared" si="16"/>
        <v>0</v>
      </c>
      <c r="I52" s="50">
        <f t="shared" si="16"/>
        <v>0</v>
      </c>
      <c r="J52" s="50">
        <f t="shared" si="16"/>
        <v>0</v>
      </c>
      <c r="K52" s="1"/>
      <c r="O52" s="113" t="s">
        <v>417</v>
      </c>
      <c r="P52" s="110"/>
      <c r="Q52" s="110"/>
      <c r="R52" s="110"/>
      <c r="S52" s="110"/>
      <c r="T52" s="110"/>
      <c r="U52" s="110"/>
      <c r="V52" s="110"/>
      <c r="W52" s="110"/>
      <c r="X52" s="110"/>
      <c r="Y52" s="99">
        <f t="shared" si="14"/>
        <v>0</v>
      </c>
    </row>
    <row r="53" spans="1:25" ht="14.4" x14ac:dyDescent="0.3">
      <c r="A53" s="19" t="s">
        <v>406</v>
      </c>
      <c r="B53" s="50">
        <f>B46</f>
        <v>0</v>
      </c>
      <c r="C53" s="50">
        <f t="shared" si="16"/>
        <v>0</v>
      </c>
      <c r="D53" s="50">
        <f t="shared" si="16"/>
        <v>0</v>
      </c>
      <c r="E53" s="50">
        <f t="shared" si="16"/>
        <v>0</v>
      </c>
      <c r="F53" s="50">
        <f t="shared" si="16"/>
        <v>0</v>
      </c>
      <c r="G53" s="50">
        <f t="shared" si="16"/>
        <v>0</v>
      </c>
      <c r="H53" s="50">
        <f t="shared" si="16"/>
        <v>0</v>
      </c>
      <c r="I53" s="50">
        <f t="shared" si="16"/>
        <v>0</v>
      </c>
      <c r="J53" s="50">
        <f t="shared" si="16"/>
        <v>0</v>
      </c>
      <c r="O53" s="19" t="s">
        <v>454</v>
      </c>
      <c r="P53" s="99">
        <f t="shared" ref="P53:X53" si="17">SUM(P47:P52)</f>
        <v>0</v>
      </c>
      <c r="Q53" s="99">
        <f t="shared" si="17"/>
        <v>0</v>
      </c>
      <c r="R53" s="99">
        <f t="shared" si="17"/>
        <v>0</v>
      </c>
      <c r="S53" s="99">
        <f t="shared" si="17"/>
        <v>0</v>
      </c>
      <c r="T53" s="99">
        <f t="shared" si="17"/>
        <v>0</v>
      </c>
      <c r="U53" s="99">
        <f t="shared" si="17"/>
        <v>0</v>
      </c>
      <c r="V53" s="99">
        <f t="shared" si="17"/>
        <v>0</v>
      </c>
      <c r="W53" s="99">
        <f t="shared" si="17"/>
        <v>0</v>
      </c>
      <c r="X53" s="99">
        <f t="shared" si="17"/>
        <v>0</v>
      </c>
      <c r="Y53" s="99">
        <f t="shared" si="14"/>
        <v>0</v>
      </c>
    </row>
    <row r="62" spans="1:25" x14ac:dyDescent="0.3">
      <c r="T62" s="81"/>
    </row>
    <row r="63" spans="1:25" x14ac:dyDescent="0.3">
      <c r="A63" s="82"/>
    </row>
    <row r="64" spans="1:25" x14ac:dyDescent="0.3">
      <c r="A64" s="86"/>
    </row>
    <row r="65" spans="1:1" x14ac:dyDescent="0.3">
      <c r="A65" s="14"/>
    </row>
    <row r="66" spans="1:1" x14ac:dyDescent="0.3">
      <c r="A66" s="13"/>
    </row>
    <row r="67" spans="1:1" x14ac:dyDescent="0.3">
      <c r="A67" s="13"/>
    </row>
  </sheetData>
  <sheetProtection selectLockedCells="1"/>
  <mergeCells count="5">
    <mergeCell ref="A1:K1"/>
    <mergeCell ref="A2:K2"/>
    <mergeCell ref="O20:Y20"/>
    <mergeCell ref="O34:Y34"/>
    <mergeCell ref="O36:V36"/>
  </mergeCells>
  <conditionalFormatting sqref="A1:Y67">
    <cfRule type="expression" dxfId="5" priority="100">
      <formula>ISERROR(A1)</formula>
    </cfRule>
  </conditionalFormatting>
  <conditionalFormatting sqref="B36:I36">
    <cfRule type="cellIs" dxfId="4" priority="1" operator="greaterThan">
      <formula>$B$19</formula>
    </cfRule>
  </conditionalFormatting>
  <conditionalFormatting sqref="K30">
    <cfRule type="cellIs" dxfId="3" priority="2" operator="equal">
      <formula>$B$5</formula>
    </cfRule>
  </conditionalFormatting>
  <dataValidations count="5">
    <dataValidation type="decimal" operator="greaterThanOrEqual" allowBlank="1" showInputMessage="1" showErrorMessage="1" errorTitle="Amount required" error="Enter an amount in EUR, 0 or more." promptTitle="Average project budget (EUR)" prompt="Enter the average EU budget of a project in EUR." sqref="T42" xr:uid="{F4386B96-D82E-45F4-B195-1A2BA1B4A536}">
      <formula1>0</formula1>
    </dataValidation>
    <dataValidation type="decimal" operator="greaterThanOrEqual" allowBlank="1" showInputMessage="1" showErrorMessage="1" errorTitle="Number required" error="Enter a number, 0 or more." promptTitle="Number of projects per call" prompt="Enter the number of projects expected per call." sqref="P42:P44 R42:R44" xr:uid="{10339833-6323-4070-8911-DB8D1F048E36}">
      <formula1>0</formula1>
    </dataValidation>
    <dataValidation type="decimal" allowBlank="1" showInputMessage="1" showErrorMessage="1" errorTitle="Percentage required" error="Enter a percentage between 0% and 100%." promptTitle="Spending profile (%)" prompt="Enter the share of the project budget spent in each half year of a regular 36 month project. The six values must add up to 100%." sqref="P38:U38" xr:uid="{F6319354-4F3E-4E3B-8774-6DCA7CA15FDC}">
      <formula1>0</formula1>
      <formula2>1</formula2>
    </dataValidation>
    <dataValidation type="decimal" operator="greaterThanOrEqual" allowBlank="1" showInputMessage="1" showErrorMessage="1" errorTitle="Amount required" error="Enter an amount in EUR, 0 or more." promptTitle="Payments to projects (EUR)" prompt="Enter the payments to projects per call and year in EUR (2028 to 2035 and after closure), for example copied from the mini calculator on the right. They feed the outflows of this sheet." sqref="P24:X29" xr:uid="{556B10E4-7ED6-4C40-8EED-E1E6AD911BAC}">
      <formula1>0</formula1>
    </dataValidation>
    <dataValidation allowBlank="1" showInputMessage="1" promptTitle="Call or project group" prompt="Optional. Name of the call or group of projects. The name is shown in the table on the left." sqref="O24:O29" xr:uid="{00000000-0002-0000-0F00-000004000000}"/>
  </dataValidations>
  <pageMargins left="0.7" right="0.7" top="0.75" bottom="0.75" header="0.3" footer="0.3"/>
  <drawing r:id="rId1"/>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57F11-A226-4529-AD49-E4DCA2C182AE}">
  <dimension ref="A1:Y67"/>
  <sheetViews>
    <sheetView topLeftCell="A18" zoomScaleNormal="100" workbookViewId="0">
      <selection activeCell="K61" sqref="K61"/>
    </sheetView>
  </sheetViews>
  <sheetFormatPr defaultRowHeight="15.05" x14ac:dyDescent="0.3"/>
  <cols>
    <col min="1" max="1" width="44" customWidth="1"/>
    <col min="2" max="2" width="14.5546875" customWidth="1"/>
    <col min="3" max="3" width="13.5546875" customWidth="1"/>
    <col min="4" max="4" width="13.109375" customWidth="1"/>
    <col min="5" max="5" width="14.88671875" customWidth="1"/>
    <col min="6" max="6" width="14" customWidth="1"/>
    <col min="7" max="7" width="15.109375" customWidth="1"/>
    <col min="8" max="8" width="13.44140625" customWidth="1"/>
    <col min="9" max="9" width="14.44140625" customWidth="1"/>
    <col min="10" max="10" width="14.88671875" customWidth="1"/>
    <col min="11" max="11" width="14.109375" customWidth="1"/>
    <col min="15" max="15" width="19.5546875" bestFit="1" customWidth="1"/>
    <col min="20" max="20" width="14" bestFit="1" customWidth="1"/>
    <col min="25" max="25" width="10.109375" bestFit="1" customWidth="1"/>
    <col min="26" max="26" width="13.5546875" bestFit="1" customWidth="1"/>
    <col min="27" max="27" width="10.109375" bestFit="1" customWidth="1"/>
  </cols>
  <sheetData>
    <row r="1" spans="1:14" ht="18" x14ac:dyDescent="0.3">
      <c r="A1" s="157" t="s">
        <v>403</v>
      </c>
      <c r="B1" s="157"/>
      <c r="C1" s="157"/>
      <c r="D1" s="157"/>
      <c r="E1" s="157"/>
      <c r="F1" s="157"/>
      <c r="G1" s="157"/>
      <c r="H1" s="157"/>
      <c r="I1" s="157"/>
      <c r="J1" s="157"/>
      <c r="K1" s="157"/>
    </row>
    <row r="2" spans="1:14" ht="18" x14ac:dyDescent="0.3">
      <c r="A2" s="157" t="s">
        <v>407</v>
      </c>
      <c r="B2" s="157"/>
      <c r="C2" s="157"/>
      <c r="D2" s="157"/>
      <c r="E2" s="157"/>
      <c r="F2" s="157"/>
      <c r="G2" s="157"/>
      <c r="H2" s="157"/>
      <c r="I2" s="157"/>
      <c r="J2" s="157"/>
      <c r="K2" s="157"/>
    </row>
    <row r="3" spans="1:14" ht="14.4" x14ac:dyDescent="0.3">
      <c r="A3" s="5"/>
    </row>
    <row r="4" spans="1:14" ht="14.4" x14ac:dyDescent="0.3">
      <c r="B4" s="6" t="s">
        <v>408</v>
      </c>
      <c r="C4" s="6" t="s">
        <v>297</v>
      </c>
    </row>
    <row r="5" spans="1:14" ht="14.4" x14ac:dyDescent="0.3">
      <c r="A5" s="6" t="str">
        <f>'pay out values'!B36</f>
        <v>Measure 10</v>
      </c>
      <c r="B5" s="50">
        <f>'pay out values'!D36</f>
        <v>0</v>
      </c>
      <c r="C5" s="102">
        <f>'pay out values'!C36</f>
        <v>0</v>
      </c>
      <c r="K5" s="3"/>
    </row>
    <row r="6" spans="1:14" ht="14.4" x14ac:dyDescent="0.3">
      <c r="C6" s="3"/>
      <c r="D6" s="3"/>
      <c r="E6" s="87"/>
      <c r="F6" s="3"/>
      <c r="K6" s="3"/>
      <c r="N6" s="13"/>
    </row>
    <row r="7" spans="1:14" x14ac:dyDescent="0.3">
      <c r="A7" s="69" t="s">
        <v>368</v>
      </c>
      <c r="B7" s="83" t="s">
        <v>369</v>
      </c>
      <c r="C7" s="84" t="s">
        <v>370</v>
      </c>
      <c r="D7" s="3"/>
      <c r="E7" s="87"/>
      <c r="F7" s="3"/>
      <c r="K7" s="3"/>
      <c r="N7" s="13"/>
    </row>
    <row r="8" spans="1:14" ht="14.4" x14ac:dyDescent="0.3">
      <c r="A8" s="19" t="s">
        <v>371</v>
      </c>
      <c r="B8" s="50">
        <f>$B$5*C8</f>
        <v>0</v>
      </c>
      <c r="C8" s="102">
        <f>'N+1 '!J15</f>
        <v>0.12</v>
      </c>
      <c r="D8" s="3"/>
      <c r="E8" s="87"/>
      <c r="F8" s="3"/>
      <c r="K8" s="3"/>
    </row>
    <row r="9" spans="1:14" ht="14.4" x14ac:dyDescent="0.3">
      <c r="A9" s="19" t="s">
        <v>372</v>
      </c>
      <c r="B9" s="50">
        <f>$B$5*C9</f>
        <v>0</v>
      </c>
      <c r="C9" s="102">
        <f>1-C8</f>
        <v>0.88</v>
      </c>
      <c r="D9" s="3"/>
      <c r="E9" s="87"/>
      <c r="F9" s="3"/>
      <c r="K9" s="3"/>
    </row>
    <row r="10" spans="1:14" x14ac:dyDescent="0.3">
      <c r="A10" s="19" t="s">
        <v>286</v>
      </c>
      <c r="B10" s="50">
        <f>SUM(B8:B9)</f>
        <v>0</v>
      </c>
      <c r="C10" s="102">
        <f>SUM(C8:C9)</f>
        <v>1</v>
      </c>
      <c r="D10" s="3"/>
      <c r="E10" s="87"/>
      <c r="F10" s="3"/>
      <c r="K10" s="3"/>
    </row>
    <row r="11" spans="1:14" ht="14.4" x14ac:dyDescent="0.3">
      <c r="D11" s="3"/>
      <c r="E11" s="87"/>
      <c r="F11" s="3"/>
      <c r="K11" s="3"/>
    </row>
    <row r="12" spans="1:14" x14ac:dyDescent="0.3">
      <c r="A12" s="69" t="s">
        <v>373</v>
      </c>
      <c r="B12" s="83" t="s">
        <v>369</v>
      </c>
      <c r="C12" s="84" t="s">
        <v>370</v>
      </c>
      <c r="D12" s="3"/>
      <c r="E12" s="87"/>
      <c r="F12" s="3"/>
      <c r="K12" s="3"/>
    </row>
    <row r="13" spans="1:14" ht="14.4" x14ac:dyDescent="0.3">
      <c r="A13" s="19" t="s">
        <v>371</v>
      </c>
      <c r="B13" s="50">
        <f>$B$5*C13</f>
        <v>0</v>
      </c>
      <c r="C13" s="102">
        <f>C8</f>
        <v>0.12</v>
      </c>
      <c r="D13" s="3"/>
      <c r="E13" s="87"/>
      <c r="F13" s="3"/>
      <c r="K13" s="3"/>
    </row>
    <row r="14" spans="1:14" ht="14.4" x14ac:dyDescent="0.3">
      <c r="A14" s="19" t="s">
        <v>372</v>
      </c>
      <c r="B14" s="50">
        <f>$B$5*C14</f>
        <v>0</v>
      </c>
      <c r="C14" s="102">
        <f>C19-C8</f>
        <v>0.83</v>
      </c>
      <c r="D14" s="3"/>
      <c r="E14" s="87"/>
      <c r="F14" s="3"/>
      <c r="K14" s="3"/>
    </row>
    <row r="15" spans="1:14" ht="14.4" x14ac:dyDescent="0.3">
      <c r="A15" s="19" t="s">
        <v>375</v>
      </c>
      <c r="B15" s="50">
        <f>$B$5*C15</f>
        <v>0</v>
      </c>
      <c r="C15" s="102">
        <f>1-C19</f>
        <v>5.0000000000000044E-2</v>
      </c>
      <c r="D15" s="3"/>
      <c r="E15" s="87"/>
      <c r="K15" s="3"/>
      <c r="M15" s="3"/>
    </row>
    <row r="16" spans="1:14" x14ac:dyDescent="0.3">
      <c r="A16" s="19" t="s">
        <v>286</v>
      </c>
      <c r="B16" s="50">
        <f>SUM(B13:B15)</f>
        <v>0</v>
      </c>
      <c r="C16" s="102">
        <f>SUM(C13:C15)</f>
        <v>1</v>
      </c>
      <c r="D16" s="3"/>
      <c r="E16" s="87"/>
      <c r="F16" s="3"/>
      <c r="K16" s="3"/>
    </row>
    <row r="17" spans="1:25" ht="14.4" x14ac:dyDescent="0.3">
      <c r="E17" s="87"/>
      <c r="F17" s="3"/>
      <c r="K17" s="3"/>
      <c r="N17" s="13"/>
    </row>
    <row r="18" spans="1:25" x14ac:dyDescent="0.3">
      <c r="A18" s="83" t="s">
        <v>376</v>
      </c>
      <c r="B18" s="83" t="s">
        <v>369</v>
      </c>
      <c r="C18" s="84" t="s">
        <v>370</v>
      </c>
      <c r="D18" s="70" t="s">
        <v>377</v>
      </c>
      <c r="E18" s="87"/>
      <c r="F18" s="3"/>
      <c r="K18" s="3"/>
      <c r="N18" s="13"/>
    </row>
    <row r="19" spans="1:25" ht="14.4" x14ac:dyDescent="0.3">
      <c r="A19" s="19" t="str">
        <f>"Payment ceiling at "&amp;TEXT(C19,"0%")</f>
        <v>Payment ceiling at 95%</v>
      </c>
      <c r="B19" s="50">
        <f>B5*C19</f>
        <v>0</v>
      </c>
      <c r="C19" s="103">
        <f>Inflows!C22</f>
        <v>0.95</v>
      </c>
      <c r="D19" s="50">
        <f>B5-B19</f>
        <v>0</v>
      </c>
      <c r="E19" s="87"/>
      <c r="F19" s="3"/>
      <c r="K19" s="3"/>
      <c r="N19" s="13"/>
    </row>
    <row r="20" spans="1:25" ht="18" x14ac:dyDescent="0.3">
      <c r="A20" s="19" t="s">
        <v>379</v>
      </c>
      <c r="B20" s="98"/>
      <c r="C20" s="103">
        <f>C8</f>
        <v>0.12</v>
      </c>
      <c r="D20" s="50">
        <f>B8</f>
        <v>0</v>
      </c>
      <c r="E20" s="87"/>
      <c r="K20" s="3"/>
      <c r="N20" s="13"/>
      <c r="O20" s="157" t="s">
        <v>409</v>
      </c>
      <c r="P20" s="157"/>
      <c r="Q20" s="157"/>
      <c r="R20" s="157"/>
      <c r="S20" s="157"/>
      <c r="T20" s="157"/>
      <c r="U20" s="157"/>
      <c r="V20" s="157"/>
      <c r="W20" s="157"/>
      <c r="X20" s="157"/>
      <c r="Y20" s="157"/>
    </row>
    <row r="21" spans="1:25" ht="14.4" x14ac:dyDescent="0.3">
      <c r="A21" s="19" t="s">
        <v>380</v>
      </c>
      <c r="B21" s="50">
        <f>B14</f>
        <v>0</v>
      </c>
      <c r="C21" s="103">
        <f>C19-C20</f>
        <v>0.83</v>
      </c>
      <c r="D21" s="50">
        <f>SUM(D19:D20)</f>
        <v>0</v>
      </c>
      <c r="E21" s="87"/>
      <c r="F21" s="3"/>
      <c r="K21" s="3"/>
      <c r="N21" s="13"/>
    </row>
    <row r="22" spans="1:25" ht="14.4" x14ac:dyDescent="0.3">
      <c r="K22" s="3"/>
      <c r="M22" s="3"/>
      <c r="O22" t="s">
        <v>410</v>
      </c>
    </row>
    <row r="23" spans="1:25" ht="14.4" x14ac:dyDescent="0.3">
      <c r="A23" s="83" t="s">
        <v>411</v>
      </c>
      <c r="B23" s="70">
        <v>2028</v>
      </c>
      <c r="C23" s="70">
        <v>2029</v>
      </c>
      <c r="D23" s="70">
        <v>2030</v>
      </c>
      <c r="E23" s="70">
        <v>2031</v>
      </c>
      <c r="F23" s="70">
        <v>2032</v>
      </c>
      <c r="G23" s="70">
        <v>2033</v>
      </c>
      <c r="H23" s="70">
        <v>2034</v>
      </c>
      <c r="I23" s="70">
        <v>2035</v>
      </c>
      <c r="J23" s="70" t="s">
        <v>362</v>
      </c>
      <c r="K23" s="70" t="s">
        <v>319</v>
      </c>
      <c r="O23" s="83" t="s">
        <v>409</v>
      </c>
      <c r="P23" s="70">
        <v>2028</v>
      </c>
      <c r="Q23" s="70">
        <v>2029</v>
      </c>
      <c r="R23" s="70">
        <v>2030</v>
      </c>
      <c r="S23" s="70">
        <v>2031</v>
      </c>
      <c r="T23" s="70">
        <v>2032</v>
      </c>
      <c r="U23" s="70">
        <v>2033</v>
      </c>
      <c r="V23" s="70">
        <v>2034</v>
      </c>
      <c r="W23" s="70">
        <v>2035</v>
      </c>
      <c r="X23" s="70" t="s">
        <v>362</v>
      </c>
      <c r="Y23" s="70" t="s">
        <v>319</v>
      </c>
    </row>
    <row r="24" spans="1:25" ht="14.4" x14ac:dyDescent="0.3">
      <c r="A24" s="19" t="str">
        <f t="shared" ref="A24:J29" si="0">O24</f>
        <v>Call 1 projects</v>
      </c>
      <c r="B24" s="50">
        <f t="shared" si="0"/>
        <v>0</v>
      </c>
      <c r="C24" s="50">
        <f t="shared" si="0"/>
        <v>0</v>
      </c>
      <c r="D24" s="50">
        <f t="shared" si="0"/>
        <v>0</v>
      </c>
      <c r="E24" s="50">
        <f t="shared" si="0"/>
        <v>0</v>
      </c>
      <c r="F24" s="50">
        <f t="shared" si="0"/>
        <v>0</v>
      </c>
      <c r="G24" s="50">
        <f t="shared" si="0"/>
        <v>0</v>
      </c>
      <c r="H24" s="50">
        <f t="shared" si="0"/>
        <v>0</v>
      </c>
      <c r="I24" s="50">
        <f t="shared" si="0"/>
        <v>0</v>
      </c>
      <c r="J24" s="50">
        <f t="shared" si="0"/>
        <v>0</v>
      </c>
      <c r="K24" s="64">
        <f t="shared" ref="K24:K30" si="1">SUM(B24:J24)</f>
        <v>0</v>
      </c>
      <c r="O24" s="109" t="s">
        <v>412</v>
      </c>
      <c r="P24" s="110"/>
      <c r="Q24" s="110"/>
      <c r="R24" s="110"/>
      <c r="S24" s="110"/>
      <c r="T24" s="110"/>
      <c r="U24" s="110"/>
      <c r="V24" s="110"/>
      <c r="W24" s="110"/>
      <c r="X24" s="110"/>
      <c r="Y24" s="99">
        <f t="shared" ref="Y24:Y30" si="2">SUM(P24:X24)</f>
        <v>0</v>
      </c>
    </row>
    <row r="25" spans="1:25" ht="14.4" x14ac:dyDescent="0.3">
      <c r="A25" s="19" t="str">
        <f t="shared" si="0"/>
        <v>Call 2 projects</v>
      </c>
      <c r="B25" s="50">
        <f t="shared" si="0"/>
        <v>0</v>
      </c>
      <c r="C25" s="50">
        <f t="shared" si="0"/>
        <v>0</v>
      </c>
      <c r="D25" s="50">
        <f t="shared" si="0"/>
        <v>0</v>
      </c>
      <c r="E25" s="50">
        <f t="shared" si="0"/>
        <v>0</v>
      </c>
      <c r="F25" s="50">
        <f t="shared" si="0"/>
        <v>0</v>
      </c>
      <c r="G25" s="50">
        <f t="shared" si="0"/>
        <v>0</v>
      </c>
      <c r="H25" s="50">
        <f t="shared" si="0"/>
        <v>0</v>
      </c>
      <c r="I25" s="50">
        <f t="shared" si="0"/>
        <v>0</v>
      </c>
      <c r="J25" s="50">
        <f t="shared" si="0"/>
        <v>0</v>
      </c>
      <c r="K25" s="64">
        <f t="shared" si="1"/>
        <v>0</v>
      </c>
      <c r="O25" s="109" t="s">
        <v>413</v>
      </c>
      <c r="P25" s="110"/>
      <c r="Q25" s="110"/>
      <c r="R25" s="110"/>
      <c r="S25" s="110"/>
      <c r="T25" s="110"/>
      <c r="U25" s="110"/>
      <c r="V25" s="110"/>
      <c r="W25" s="110"/>
      <c r="X25" s="110"/>
      <c r="Y25" s="99">
        <f t="shared" si="2"/>
        <v>0</v>
      </c>
    </row>
    <row r="26" spans="1:25" ht="14.4" x14ac:dyDescent="0.3">
      <c r="A26" s="19" t="str">
        <f t="shared" si="0"/>
        <v>Call 3 projects</v>
      </c>
      <c r="B26" s="50">
        <f t="shared" si="0"/>
        <v>0</v>
      </c>
      <c r="C26" s="50">
        <f t="shared" si="0"/>
        <v>0</v>
      </c>
      <c r="D26" s="50">
        <f t="shared" si="0"/>
        <v>0</v>
      </c>
      <c r="E26" s="50">
        <f t="shared" si="0"/>
        <v>0</v>
      </c>
      <c r="F26" s="50">
        <f t="shared" si="0"/>
        <v>0</v>
      </c>
      <c r="G26" s="50">
        <f t="shared" si="0"/>
        <v>0</v>
      </c>
      <c r="H26" s="50">
        <f t="shared" si="0"/>
        <v>0</v>
      </c>
      <c r="I26" s="50">
        <f t="shared" si="0"/>
        <v>0</v>
      </c>
      <c r="J26" s="50">
        <f t="shared" si="0"/>
        <v>0</v>
      </c>
      <c r="K26" s="64">
        <f t="shared" si="1"/>
        <v>0</v>
      </c>
      <c r="O26" s="109" t="s">
        <v>414</v>
      </c>
      <c r="P26" s="110"/>
      <c r="Q26" s="110"/>
      <c r="R26" s="110"/>
      <c r="S26" s="110"/>
      <c r="T26" s="110"/>
      <c r="U26" s="110"/>
      <c r="V26" s="110"/>
      <c r="W26" s="110"/>
      <c r="X26" s="110"/>
      <c r="Y26" s="99">
        <f t="shared" si="2"/>
        <v>0</v>
      </c>
    </row>
    <row r="27" spans="1:25" ht="14.4" x14ac:dyDescent="0.3">
      <c r="A27" s="19" t="str">
        <f t="shared" si="0"/>
        <v>Call 4  projects</v>
      </c>
      <c r="B27" s="50">
        <f t="shared" si="0"/>
        <v>0</v>
      </c>
      <c r="C27" s="50">
        <f t="shared" si="0"/>
        <v>0</v>
      </c>
      <c r="D27" s="50">
        <f t="shared" si="0"/>
        <v>0</v>
      </c>
      <c r="E27" s="50">
        <f t="shared" si="0"/>
        <v>0</v>
      </c>
      <c r="F27" s="50">
        <f t="shared" si="0"/>
        <v>0</v>
      </c>
      <c r="G27" s="50">
        <f t="shared" si="0"/>
        <v>0</v>
      </c>
      <c r="H27" s="50">
        <f t="shared" si="0"/>
        <v>0</v>
      </c>
      <c r="I27" s="50">
        <f t="shared" si="0"/>
        <v>0</v>
      </c>
      <c r="J27" s="50">
        <f t="shared" si="0"/>
        <v>0</v>
      </c>
      <c r="K27" s="64">
        <f t="shared" si="1"/>
        <v>0</v>
      </c>
      <c r="O27" s="109" t="s">
        <v>415</v>
      </c>
      <c r="P27" s="110"/>
      <c r="Q27" s="110"/>
      <c r="R27" s="110"/>
      <c r="S27" s="110"/>
      <c r="T27" s="110"/>
      <c r="U27" s="110"/>
      <c r="V27" s="110"/>
      <c r="W27" s="110"/>
      <c r="X27" s="110"/>
      <c r="Y27" s="99">
        <f t="shared" si="2"/>
        <v>0</v>
      </c>
    </row>
    <row r="28" spans="1:25" ht="14.4" x14ac:dyDescent="0.3">
      <c r="A28" s="19" t="str">
        <f t="shared" si="0"/>
        <v>Call 5  projects</v>
      </c>
      <c r="B28" s="50">
        <f t="shared" si="0"/>
        <v>0</v>
      </c>
      <c r="C28" s="50">
        <f t="shared" si="0"/>
        <v>0</v>
      </c>
      <c r="D28" s="50">
        <f t="shared" si="0"/>
        <v>0</v>
      </c>
      <c r="E28" s="50">
        <f t="shared" si="0"/>
        <v>0</v>
      </c>
      <c r="F28" s="50">
        <f t="shared" si="0"/>
        <v>0</v>
      </c>
      <c r="G28" s="50">
        <f t="shared" si="0"/>
        <v>0</v>
      </c>
      <c r="H28" s="50">
        <f t="shared" si="0"/>
        <v>0</v>
      </c>
      <c r="I28" s="50">
        <f t="shared" si="0"/>
        <v>0</v>
      </c>
      <c r="J28" s="50">
        <f t="shared" si="0"/>
        <v>0</v>
      </c>
      <c r="K28" s="64">
        <f t="shared" si="1"/>
        <v>0</v>
      </c>
      <c r="O28" s="109" t="s">
        <v>416</v>
      </c>
      <c r="P28" s="110"/>
      <c r="Q28" s="110"/>
      <c r="R28" s="110"/>
      <c r="S28" s="110"/>
      <c r="T28" s="110"/>
      <c r="U28" s="110"/>
      <c r="V28" s="110"/>
      <c r="W28" s="110"/>
      <c r="X28" s="110"/>
      <c r="Y28" s="99">
        <f t="shared" si="2"/>
        <v>0</v>
      </c>
    </row>
    <row r="29" spans="1:25" ht="14.4" x14ac:dyDescent="0.3">
      <c r="A29" s="19" t="str">
        <f t="shared" si="0"/>
        <v>Call 6 projects</v>
      </c>
      <c r="B29" s="50">
        <f t="shared" si="0"/>
        <v>0</v>
      </c>
      <c r="C29" s="50">
        <f t="shared" si="0"/>
        <v>0</v>
      </c>
      <c r="D29" s="50">
        <f t="shared" si="0"/>
        <v>0</v>
      </c>
      <c r="E29" s="50">
        <f t="shared" si="0"/>
        <v>0</v>
      </c>
      <c r="F29" s="50">
        <f t="shared" si="0"/>
        <v>0</v>
      </c>
      <c r="G29" s="50">
        <f t="shared" si="0"/>
        <v>0</v>
      </c>
      <c r="H29" s="50">
        <f t="shared" si="0"/>
        <v>0</v>
      </c>
      <c r="I29" s="50">
        <f t="shared" si="0"/>
        <v>0</v>
      </c>
      <c r="J29" s="50">
        <f t="shared" si="0"/>
        <v>0</v>
      </c>
      <c r="K29" s="64">
        <f t="shared" si="1"/>
        <v>0</v>
      </c>
      <c r="O29" s="109" t="s">
        <v>417</v>
      </c>
      <c r="P29" s="110"/>
      <c r="Q29" s="110"/>
      <c r="R29" s="110"/>
      <c r="S29" s="110"/>
      <c r="T29" s="110"/>
      <c r="U29" s="110"/>
      <c r="V29" s="110"/>
      <c r="W29" s="110"/>
      <c r="X29" s="110"/>
      <c r="Y29" s="99">
        <f t="shared" si="2"/>
        <v>0</v>
      </c>
    </row>
    <row r="30" spans="1:25" ht="14.4" x14ac:dyDescent="0.3">
      <c r="A30" s="19" t="s">
        <v>455</v>
      </c>
      <c r="B30" s="50">
        <f t="shared" ref="B30:J30" si="3">SUM(B24:B29)</f>
        <v>0</v>
      </c>
      <c r="C30" s="64">
        <f t="shared" si="3"/>
        <v>0</v>
      </c>
      <c r="D30" s="64">
        <f t="shared" si="3"/>
        <v>0</v>
      </c>
      <c r="E30" s="64">
        <f t="shared" si="3"/>
        <v>0</v>
      </c>
      <c r="F30" s="64">
        <f t="shared" si="3"/>
        <v>0</v>
      </c>
      <c r="G30" s="64">
        <f t="shared" si="3"/>
        <v>0</v>
      </c>
      <c r="H30" s="64">
        <f t="shared" si="3"/>
        <v>0</v>
      </c>
      <c r="I30" s="64">
        <f t="shared" si="3"/>
        <v>0</v>
      </c>
      <c r="J30" s="64">
        <f t="shared" si="3"/>
        <v>0</v>
      </c>
      <c r="K30" s="64">
        <f t="shared" si="1"/>
        <v>0</v>
      </c>
      <c r="O30" s="19" t="s">
        <v>455</v>
      </c>
      <c r="P30" s="99">
        <f t="shared" ref="P30:X30" si="4">SUM(P24:P29)</f>
        <v>0</v>
      </c>
      <c r="Q30" s="99">
        <f t="shared" si="4"/>
        <v>0</v>
      </c>
      <c r="R30" s="99">
        <f t="shared" si="4"/>
        <v>0</v>
      </c>
      <c r="S30" s="99">
        <f t="shared" si="4"/>
        <v>0</v>
      </c>
      <c r="T30" s="99">
        <f t="shared" si="4"/>
        <v>0</v>
      </c>
      <c r="U30" s="99">
        <f t="shared" si="4"/>
        <v>0</v>
      </c>
      <c r="V30" s="99">
        <f t="shared" si="4"/>
        <v>0</v>
      </c>
      <c r="W30" s="99">
        <f t="shared" si="4"/>
        <v>0</v>
      </c>
      <c r="X30" s="99">
        <f t="shared" si="4"/>
        <v>0</v>
      </c>
      <c r="Y30" s="99">
        <f t="shared" si="2"/>
        <v>0</v>
      </c>
    </row>
    <row r="32" spans="1:25" ht="14.4" x14ac:dyDescent="0.3">
      <c r="A32" s="83" t="s">
        <v>419</v>
      </c>
      <c r="B32" s="70">
        <v>2028</v>
      </c>
      <c r="C32" s="70">
        <v>2029</v>
      </c>
      <c r="D32" s="70">
        <v>2030</v>
      </c>
      <c r="E32" s="70">
        <v>2031</v>
      </c>
      <c r="F32" s="70">
        <v>2032</v>
      </c>
      <c r="G32" s="70">
        <v>2033</v>
      </c>
      <c r="H32" s="70">
        <v>2034</v>
      </c>
      <c r="I32" s="70">
        <v>2035</v>
      </c>
      <c r="J32" s="70" t="s">
        <v>362</v>
      </c>
      <c r="K32" s="70" t="s">
        <v>319</v>
      </c>
      <c r="L32" s="11"/>
    </row>
    <row r="33" spans="1:25" ht="14.4" x14ac:dyDescent="0.3">
      <c r="A33" s="19" t="s">
        <v>420</v>
      </c>
      <c r="B33" s="50">
        <f>IF(Inflows!$J$7=0,0,Inflows!B28/Inflows!$J$7*$B$5)</f>
        <v>0</v>
      </c>
      <c r="C33" s="50">
        <f>IF(Inflows!$J$7=0,0,Inflows!C28/Inflows!$J$7*$B$5)</f>
        <v>0</v>
      </c>
      <c r="D33" s="50">
        <f>IF(Inflows!$J$7=0,0,Inflows!D28/Inflows!$J$7*$B$5)</f>
        <v>0</v>
      </c>
      <c r="E33" s="50">
        <f>IF(Inflows!$J$7=0,0,Inflows!E28/Inflows!$J$7*$B$5)</f>
        <v>0</v>
      </c>
      <c r="F33" s="50">
        <f>IF(Inflows!$J$7=0,0,Inflows!F28/Inflows!$J$7*$B$5)</f>
        <v>0</v>
      </c>
      <c r="G33" s="50">
        <f>IF(Inflows!$J$7=0,0,Inflows!G28/Inflows!$J$7*$B$5)</f>
        <v>0</v>
      </c>
      <c r="H33" s="50">
        <f>IF(Inflows!$J$7=0,0,Inflows!H28/Inflows!$J$7*$B$5)</f>
        <v>0</v>
      </c>
      <c r="I33" s="50">
        <f>IF(Inflows!$J$7=0,0,Inflows!I28/Inflows!$J$7*$B$5)</f>
        <v>0</v>
      </c>
      <c r="J33" s="88"/>
      <c r="K33" s="64">
        <f>SUM(B33:J33)</f>
        <v>0</v>
      </c>
      <c r="L33" s="1"/>
    </row>
    <row r="34" spans="1:25" ht="18" x14ac:dyDescent="0.3">
      <c r="A34" s="19" t="s">
        <v>383</v>
      </c>
      <c r="B34" s="50">
        <f>'pay out values'!P206</f>
        <v>0</v>
      </c>
      <c r="C34" s="50">
        <f>'pay out values'!Q206</f>
        <v>0</v>
      </c>
      <c r="D34" s="50">
        <f>'pay out values'!R206</f>
        <v>0</v>
      </c>
      <c r="E34" s="50">
        <f>'pay out values'!S206</f>
        <v>0</v>
      </c>
      <c r="F34" s="50">
        <f>'pay out values'!T206</f>
        <v>0</v>
      </c>
      <c r="G34" s="50">
        <f>'pay out values'!U206</f>
        <v>0</v>
      </c>
      <c r="H34" s="50">
        <f>'pay out values'!V206</f>
        <v>0</v>
      </c>
      <c r="I34" s="50">
        <f>'pay out values'!W206</f>
        <v>0</v>
      </c>
      <c r="J34" s="88"/>
      <c r="K34" s="64">
        <f>SUM(B34:J34)</f>
        <v>0</v>
      </c>
      <c r="O34" s="157" t="s">
        <v>421</v>
      </c>
      <c r="P34" s="157"/>
      <c r="Q34" s="157"/>
      <c r="R34" s="157"/>
      <c r="S34" s="157"/>
      <c r="T34" s="157"/>
      <c r="U34" s="157"/>
      <c r="V34" s="157"/>
      <c r="W34" s="157"/>
      <c r="X34" s="157"/>
      <c r="Y34" s="157"/>
    </row>
    <row r="35" spans="1:25" ht="14.4" x14ac:dyDescent="0.3">
      <c r="A35" s="19" t="s">
        <v>384</v>
      </c>
      <c r="B35" s="50">
        <f>B34</f>
        <v>0</v>
      </c>
      <c r="C35" s="50">
        <f t="shared" ref="C35:I35" si="5">B35+C34</f>
        <v>0</v>
      </c>
      <c r="D35" s="50">
        <f t="shared" si="5"/>
        <v>0</v>
      </c>
      <c r="E35" s="50">
        <f t="shared" si="5"/>
        <v>0</v>
      </c>
      <c r="F35" s="50">
        <f t="shared" si="5"/>
        <v>0</v>
      </c>
      <c r="G35" s="50">
        <f t="shared" si="5"/>
        <v>0</v>
      </c>
      <c r="H35" s="50">
        <f t="shared" si="5"/>
        <v>0</v>
      </c>
      <c r="I35" s="50">
        <f t="shared" si="5"/>
        <v>0</v>
      </c>
      <c r="J35" s="88"/>
      <c r="K35" s="107"/>
    </row>
    <row r="36" spans="1:25" ht="14.4" x14ac:dyDescent="0.3">
      <c r="A36" s="19" t="s">
        <v>385</v>
      </c>
      <c r="B36" s="50">
        <f>B35+SUM($B33:B33)</f>
        <v>0</v>
      </c>
      <c r="C36" s="50">
        <f>C35+SUM($B33:C33)</f>
        <v>0</v>
      </c>
      <c r="D36" s="50">
        <f>D35+SUM($B33:D33)</f>
        <v>0</v>
      </c>
      <c r="E36" s="50">
        <f>E35+SUM($B33:E33)</f>
        <v>0</v>
      </c>
      <c r="F36" s="50">
        <f>F35+SUM($B33:F33)</f>
        <v>0</v>
      </c>
      <c r="G36" s="50">
        <f>G35+SUM($B33:G33)</f>
        <v>0</v>
      </c>
      <c r="H36" s="50">
        <f>H35+SUM($B33:H33)</f>
        <v>0</v>
      </c>
      <c r="I36" s="50">
        <f>I35+SUM($B33:I33)</f>
        <v>0</v>
      </c>
      <c r="J36" s="88"/>
      <c r="K36" s="107"/>
      <c r="O36" s="177" t="s">
        <v>422</v>
      </c>
      <c r="P36" s="178"/>
      <c r="Q36" s="178"/>
      <c r="R36" s="178"/>
      <c r="S36" s="178"/>
      <c r="T36" s="178"/>
      <c r="U36" s="178"/>
      <c r="V36" s="178"/>
    </row>
    <row r="37" spans="1:25" ht="14.4" x14ac:dyDescent="0.3">
      <c r="A37" s="19" t="str">
        <f>"amount above "&amp;TEXT($C$19,"0%")&amp;" ceiling"</f>
        <v>amount above 95% ceiling</v>
      </c>
      <c r="B37" s="50">
        <f t="shared" ref="B37:I37" si="6">IF(B36&gt;$B$19, B36-$B$19, 0)</f>
        <v>0</v>
      </c>
      <c r="C37" s="50">
        <f t="shared" si="6"/>
        <v>0</v>
      </c>
      <c r="D37" s="50">
        <f t="shared" si="6"/>
        <v>0</v>
      </c>
      <c r="E37" s="50">
        <f t="shared" si="6"/>
        <v>0</v>
      </c>
      <c r="F37" s="50">
        <f t="shared" si="6"/>
        <v>0</v>
      </c>
      <c r="G37" s="50">
        <f t="shared" si="6"/>
        <v>0</v>
      </c>
      <c r="H37" s="50">
        <f t="shared" si="6"/>
        <v>0</v>
      </c>
      <c r="I37" s="50">
        <f t="shared" si="6"/>
        <v>0</v>
      </c>
      <c r="J37" s="88"/>
      <c r="K37" s="107"/>
      <c r="O37" s="83" t="s">
        <v>423</v>
      </c>
      <c r="P37" s="70" t="s">
        <v>424</v>
      </c>
      <c r="Q37" s="70" t="s">
        <v>425</v>
      </c>
      <c r="R37" s="70" t="s">
        <v>426</v>
      </c>
      <c r="S37" s="70" t="s">
        <v>427</v>
      </c>
      <c r="T37" s="70" t="s">
        <v>428</v>
      </c>
      <c r="U37" s="70" t="s">
        <v>429</v>
      </c>
      <c r="V37" s="70" t="s">
        <v>319</v>
      </c>
    </row>
    <row r="38" spans="1:25" ht="14.4" x14ac:dyDescent="0.3">
      <c r="A38" s="19" t="str">
        <f>"clearance of pre-financing AND impact of "&amp;TEXT($C$19,"0%")&amp;" ceiling"</f>
        <v>clearance of pre-financing AND impact of 95% ceiling</v>
      </c>
      <c r="B38" s="50">
        <f>MIN(B36,$B$19)-B33-B34</f>
        <v>0</v>
      </c>
      <c r="C38" s="50">
        <f t="shared" ref="C38:I38" si="7">MIN(C36,$B$19)-MIN(B36,$B$19)-C33-C34</f>
        <v>0</v>
      </c>
      <c r="D38" s="50">
        <f t="shared" si="7"/>
        <v>0</v>
      </c>
      <c r="E38" s="50">
        <f t="shared" si="7"/>
        <v>0</v>
      </c>
      <c r="F38" s="50">
        <f t="shared" si="7"/>
        <v>0</v>
      </c>
      <c r="G38" s="50">
        <f t="shared" si="7"/>
        <v>0</v>
      </c>
      <c r="H38" s="50">
        <f t="shared" si="7"/>
        <v>0</v>
      </c>
      <c r="I38" s="50">
        <f t="shared" si="7"/>
        <v>0</v>
      </c>
      <c r="J38" s="88"/>
      <c r="K38" s="64">
        <f>SUM(B38:J38)</f>
        <v>0</v>
      </c>
      <c r="O38" s="83" t="s">
        <v>430</v>
      </c>
      <c r="P38" s="111">
        <v>0.05</v>
      </c>
      <c r="Q38" s="111">
        <v>0.15</v>
      </c>
      <c r="R38" s="111">
        <v>0.35</v>
      </c>
      <c r="S38" s="111">
        <v>0.25</v>
      </c>
      <c r="T38" s="111">
        <v>0.15</v>
      </c>
      <c r="U38" s="111">
        <v>0.05</v>
      </c>
      <c r="V38" s="100">
        <f>SUM(P38:U38)</f>
        <v>1</v>
      </c>
    </row>
    <row r="39" spans="1:25" x14ac:dyDescent="0.3">
      <c r="A39" s="19" t="str">
        <f>TEXT(1-$C$19,"0%")&amp;" paid after programme closure"</f>
        <v>5% paid after programme closure</v>
      </c>
      <c r="B39" s="89"/>
      <c r="C39" s="90"/>
      <c r="D39" s="90"/>
      <c r="E39" s="90"/>
      <c r="F39" s="90"/>
      <c r="G39" s="90"/>
      <c r="H39" s="90"/>
      <c r="I39" s="91"/>
      <c r="J39" s="50">
        <f>B15</f>
        <v>0</v>
      </c>
      <c r="K39" s="64">
        <f>SUM(B39:J39)</f>
        <v>0</v>
      </c>
      <c r="O39" s="83" t="s">
        <v>431</v>
      </c>
      <c r="P39" s="95">
        <f t="shared" ref="P39:U39" si="8">P38*$T$42</f>
        <v>0</v>
      </c>
      <c r="Q39" s="95">
        <f t="shared" si="8"/>
        <v>0</v>
      </c>
      <c r="R39" s="95">
        <f t="shared" si="8"/>
        <v>0</v>
      </c>
      <c r="S39" s="95">
        <f t="shared" si="8"/>
        <v>0</v>
      </c>
      <c r="T39" s="95">
        <f t="shared" si="8"/>
        <v>0</v>
      </c>
      <c r="U39" s="95">
        <f t="shared" si="8"/>
        <v>0</v>
      </c>
      <c r="V39" s="95">
        <f>SUM(P39:U39)</f>
        <v>0</v>
      </c>
    </row>
    <row r="40" spans="1:25" ht="14.4" x14ac:dyDescent="0.3">
      <c r="A40" s="19" t="s">
        <v>386</v>
      </c>
      <c r="B40" s="64">
        <f t="shared" ref="B40:J40" si="9">B34+B38+B39</f>
        <v>0</v>
      </c>
      <c r="C40" s="64">
        <f t="shared" si="9"/>
        <v>0</v>
      </c>
      <c r="D40" s="64">
        <f t="shared" si="9"/>
        <v>0</v>
      </c>
      <c r="E40" s="64">
        <f t="shared" si="9"/>
        <v>0</v>
      </c>
      <c r="F40" s="64">
        <f t="shared" si="9"/>
        <v>0</v>
      </c>
      <c r="G40" s="64">
        <f t="shared" si="9"/>
        <v>0</v>
      </c>
      <c r="H40" s="64">
        <f t="shared" si="9"/>
        <v>0</v>
      </c>
      <c r="I40" s="64">
        <f t="shared" si="9"/>
        <v>0</v>
      </c>
      <c r="J40" s="64">
        <f t="shared" si="9"/>
        <v>0</v>
      </c>
      <c r="K40" s="64">
        <f>SUM(B40:J40)</f>
        <v>0</v>
      </c>
      <c r="L40" s="1"/>
    </row>
    <row r="41" spans="1:25" ht="14.4" x14ac:dyDescent="0.3">
      <c r="A41" s="19" t="s">
        <v>387</v>
      </c>
      <c r="B41" s="93">
        <f t="shared" ref="B41:I41" si="10">IF(B34=0,0,B40/B34)</f>
        <v>0</v>
      </c>
      <c r="C41" s="93">
        <f t="shared" si="10"/>
        <v>0</v>
      </c>
      <c r="D41" s="93">
        <f t="shared" si="10"/>
        <v>0</v>
      </c>
      <c r="E41" s="93">
        <f t="shared" si="10"/>
        <v>0</v>
      </c>
      <c r="F41" s="93">
        <f t="shared" si="10"/>
        <v>0</v>
      </c>
      <c r="G41" s="93">
        <f t="shared" si="10"/>
        <v>0</v>
      </c>
      <c r="H41" s="93">
        <f t="shared" si="10"/>
        <v>0</v>
      </c>
      <c r="I41" s="93">
        <f t="shared" si="10"/>
        <v>0</v>
      </c>
      <c r="J41" s="98"/>
      <c r="K41" s="98"/>
      <c r="L41" s="1"/>
      <c r="P41" s="13" t="s">
        <v>432</v>
      </c>
      <c r="T41" t="s">
        <v>433</v>
      </c>
    </row>
    <row r="42" spans="1:25" ht="14.4" x14ac:dyDescent="0.3">
      <c r="A42" s="106" t="s">
        <v>434</v>
      </c>
      <c r="O42" s="112" t="s">
        <v>435</v>
      </c>
      <c r="P42" s="113"/>
      <c r="Q42" s="112" t="s">
        <v>436</v>
      </c>
      <c r="R42" s="113"/>
      <c r="S42" s="114"/>
      <c r="T42" s="110"/>
    </row>
    <row r="43" spans="1:25" ht="14.4" x14ac:dyDescent="0.3">
      <c r="O43" s="112" t="s">
        <v>437</v>
      </c>
      <c r="P43" s="113"/>
      <c r="Q43" s="112" t="s">
        <v>438</v>
      </c>
      <c r="R43" s="113"/>
      <c r="S43" s="114"/>
      <c r="T43" s="114"/>
    </row>
    <row r="44" spans="1:25" ht="14.4" x14ac:dyDescent="0.3">
      <c r="A44" s="83" t="s">
        <v>404</v>
      </c>
      <c r="B44" s="70">
        <v>2028</v>
      </c>
      <c r="C44" s="70">
        <v>2029</v>
      </c>
      <c r="D44" s="70">
        <v>2030</v>
      </c>
      <c r="E44" s="70">
        <v>2031</v>
      </c>
      <c r="F44" s="70">
        <v>2032</v>
      </c>
      <c r="G44" s="70">
        <v>2033</v>
      </c>
      <c r="H44" s="70">
        <v>2034</v>
      </c>
      <c r="I44" s="70">
        <v>2035</v>
      </c>
      <c r="J44" s="70" t="s">
        <v>362</v>
      </c>
      <c r="K44" s="70" t="s">
        <v>319</v>
      </c>
      <c r="O44" s="112" t="s">
        <v>439</v>
      </c>
      <c r="P44" s="113"/>
      <c r="Q44" s="112" t="s">
        <v>440</v>
      </c>
      <c r="R44" s="113"/>
      <c r="S44" s="114"/>
      <c r="T44" s="114" t="s">
        <v>441</v>
      </c>
    </row>
    <row r="45" spans="1:25" ht="14.4" x14ac:dyDescent="0.3">
      <c r="A45" s="19" t="s">
        <v>442</v>
      </c>
      <c r="B45" s="50">
        <f t="shared" ref="B45:J45" si="11">B33+B40</f>
        <v>0</v>
      </c>
      <c r="C45" s="50">
        <f t="shared" si="11"/>
        <v>0</v>
      </c>
      <c r="D45" s="50">
        <f t="shared" si="11"/>
        <v>0</v>
      </c>
      <c r="E45" s="50">
        <f t="shared" si="11"/>
        <v>0</v>
      </c>
      <c r="F45" s="50">
        <f t="shared" si="11"/>
        <v>0</v>
      </c>
      <c r="G45" s="50">
        <f t="shared" si="11"/>
        <v>0</v>
      </c>
      <c r="H45" s="50">
        <f t="shared" si="11"/>
        <v>0</v>
      </c>
      <c r="I45" s="50">
        <f t="shared" si="11"/>
        <v>0</v>
      </c>
      <c r="J45" s="50">
        <f t="shared" si="11"/>
        <v>0</v>
      </c>
      <c r="K45" s="64">
        <f>SUM(B45:J45)</f>
        <v>0</v>
      </c>
    </row>
    <row r="46" spans="1:25" x14ac:dyDescent="0.3">
      <c r="A46" s="19" t="s">
        <v>443</v>
      </c>
      <c r="B46" s="50">
        <f t="shared" ref="B46:J46" si="12">P30</f>
        <v>0</v>
      </c>
      <c r="C46" s="50">
        <f t="shared" si="12"/>
        <v>0</v>
      </c>
      <c r="D46" s="50">
        <f t="shared" si="12"/>
        <v>0</v>
      </c>
      <c r="E46" s="50">
        <f t="shared" si="12"/>
        <v>0</v>
      </c>
      <c r="F46" s="50">
        <f t="shared" si="12"/>
        <v>0</v>
      </c>
      <c r="G46" s="50">
        <f t="shared" si="12"/>
        <v>0</v>
      </c>
      <c r="H46" s="50">
        <f t="shared" si="12"/>
        <v>0</v>
      </c>
      <c r="I46" s="50">
        <f t="shared" si="12"/>
        <v>0</v>
      </c>
      <c r="J46" s="50">
        <f t="shared" si="12"/>
        <v>0</v>
      </c>
      <c r="K46" s="64">
        <f>SUM(B46:J46)</f>
        <v>0</v>
      </c>
      <c r="O46" s="83" t="s">
        <v>409</v>
      </c>
      <c r="P46" s="70">
        <v>2028</v>
      </c>
      <c r="Q46" s="70">
        <v>2029</v>
      </c>
      <c r="R46" s="70">
        <v>2030</v>
      </c>
      <c r="S46" s="70">
        <v>2031</v>
      </c>
      <c r="T46" s="70">
        <v>2032</v>
      </c>
      <c r="U46" s="70">
        <v>2033</v>
      </c>
      <c r="V46" s="70">
        <v>2034</v>
      </c>
      <c r="W46" s="70">
        <v>2035</v>
      </c>
      <c r="X46" s="70" t="s">
        <v>362</v>
      </c>
      <c r="Y46" s="70" t="s">
        <v>319</v>
      </c>
    </row>
    <row r="47" spans="1:25" x14ac:dyDescent="0.3">
      <c r="A47" s="19" t="s">
        <v>444</v>
      </c>
      <c r="B47" s="50">
        <f t="shared" ref="B47:J47" si="13">B45-B46</f>
        <v>0</v>
      </c>
      <c r="C47" s="50">
        <f t="shared" si="13"/>
        <v>0</v>
      </c>
      <c r="D47" s="50">
        <f t="shared" si="13"/>
        <v>0</v>
      </c>
      <c r="E47" s="50">
        <f t="shared" si="13"/>
        <v>0</v>
      </c>
      <c r="F47" s="50">
        <f t="shared" si="13"/>
        <v>0</v>
      </c>
      <c r="G47" s="50">
        <f t="shared" si="13"/>
        <v>0</v>
      </c>
      <c r="H47" s="50">
        <f t="shared" si="13"/>
        <v>0</v>
      </c>
      <c r="I47" s="50">
        <f t="shared" si="13"/>
        <v>0</v>
      </c>
      <c r="J47" s="50">
        <f t="shared" si="13"/>
        <v>0</v>
      </c>
      <c r="K47" s="98"/>
      <c r="O47" s="113" t="s">
        <v>412</v>
      </c>
      <c r="P47" s="110"/>
      <c r="Q47" s="110">
        <f>$P$42*P$39</f>
        <v>0</v>
      </c>
      <c r="R47" s="110">
        <f>$P$42*(Q$39+R$39)</f>
        <v>0</v>
      </c>
      <c r="S47" s="110">
        <f>$P$42*(S$39+T$39)</f>
        <v>0</v>
      </c>
      <c r="T47" s="110">
        <f>$P$42*U$39</f>
        <v>0</v>
      </c>
      <c r="U47" s="110"/>
      <c r="V47" s="110"/>
      <c r="W47" s="110"/>
      <c r="X47" s="110"/>
      <c r="Y47" s="99">
        <f t="shared" ref="Y47:Y53" si="14">SUM(P47:X47)</f>
        <v>0</v>
      </c>
    </row>
    <row r="48" spans="1:25" x14ac:dyDescent="0.3">
      <c r="A48" s="19" t="s">
        <v>445</v>
      </c>
      <c r="B48" s="50">
        <f>B47</f>
        <v>0</v>
      </c>
      <c r="C48" s="50">
        <f t="shared" ref="C48:J48" si="15">B48+C47</f>
        <v>0</v>
      </c>
      <c r="D48" s="50">
        <f t="shared" si="15"/>
        <v>0</v>
      </c>
      <c r="E48" s="50">
        <f t="shared" si="15"/>
        <v>0</v>
      </c>
      <c r="F48" s="50">
        <f t="shared" si="15"/>
        <v>0</v>
      </c>
      <c r="G48" s="50">
        <f t="shared" si="15"/>
        <v>0</v>
      </c>
      <c r="H48" s="50">
        <f t="shared" si="15"/>
        <v>0</v>
      </c>
      <c r="I48" s="50">
        <f t="shared" si="15"/>
        <v>0</v>
      </c>
      <c r="J48" s="50">
        <f t="shared" si="15"/>
        <v>0</v>
      </c>
      <c r="K48" s="98"/>
      <c r="O48" s="113" t="s">
        <v>413</v>
      </c>
      <c r="P48" s="110"/>
      <c r="Q48" s="110"/>
      <c r="R48" s="110">
        <f>$P$43*P$39</f>
        <v>0</v>
      </c>
      <c r="S48" s="110">
        <f>$P$43*(Q$39+R$39)</f>
        <v>0</v>
      </c>
      <c r="T48" s="110">
        <f>$P$43*(S$39+T$39)</f>
        <v>0</v>
      </c>
      <c r="U48" s="110">
        <f>$P$43*U$39</f>
        <v>0</v>
      </c>
      <c r="V48" s="110"/>
      <c r="W48" s="110"/>
      <c r="X48" s="110"/>
      <c r="Y48" s="99">
        <f t="shared" si="14"/>
        <v>0</v>
      </c>
    </row>
    <row r="49" spans="1:25" x14ac:dyDescent="0.3">
      <c r="O49" s="113" t="s">
        <v>414</v>
      </c>
      <c r="P49" s="110"/>
      <c r="Q49" s="110"/>
      <c r="R49" s="110"/>
      <c r="S49" s="110">
        <f>$P$44*P$39</f>
        <v>0</v>
      </c>
      <c r="T49" s="110">
        <f>$P$44*(Q$39+R$39)</f>
        <v>0</v>
      </c>
      <c r="U49" s="110">
        <f>$P$44*(S$39+T$39)</f>
        <v>0</v>
      </c>
      <c r="V49" s="110">
        <f>$P$44*U$39</f>
        <v>0</v>
      </c>
      <c r="W49" s="110"/>
      <c r="X49" s="110"/>
      <c r="Y49" s="99">
        <f t="shared" si="14"/>
        <v>0</v>
      </c>
    </row>
    <row r="50" spans="1:25" x14ac:dyDescent="0.3">
      <c r="O50" s="113" t="s">
        <v>415</v>
      </c>
      <c r="P50" s="110"/>
      <c r="Q50" s="110"/>
      <c r="R50" s="110"/>
      <c r="S50" s="110"/>
      <c r="T50" s="110"/>
      <c r="U50" s="110"/>
      <c r="V50" s="110"/>
      <c r="W50" s="110"/>
      <c r="X50" s="110"/>
      <c r="Y50" s="99">
        <f t="shared" si="14"/>
        <v>0</v>
      </c>
    </row>
    <row r="51" spans="1:25" x14ac:dyDescent="0.3">
      <c r="A51" s="101" t="s">
        <v>446</v>
      </c>
      <c r="B51" s="70">
        <v>2028</v>
      </c>
      <c r="C51" s="70">
        <v>2029</v>
      </c>
      <c r="D51" s="70">
        <v>2030</v>
      </c>
      <c r="E51" s="70">
        <v>2031</v>
      </c>
      <c r="F51" s="70">
        <v>2032</v>
      </c>
      <c r="G51" s="70">
        <v>2033</v>
      </c>
      <c r="H51" s="70">
        <v>2034</v>
      </c>
      <c r="I51" s="70">
        <v>2035</v>
      </c>
      <c r="J51" s="70" t="s">
        <v>362</v>
      </c>
      <c r="O51" s="113" t="s">
        <v>416</v>
      </c>
      <c r="P51" s="110"/>
      <c r="Q51" s="110"/>
      <c r="R51" s="110"/>
      <c r="S51" s="110"/>
      <c r="T51" s="110"/>
      <c r="U51" s="110"/>
      <c r="V51" s="110"/>
      <c r="W51" s="110"/>
      <c r="X51" s="110"/>
      <c r="Y51" s="99">
        <f t="shared" si="14"/>
        <v>0</v>
      </c>
    </row>
    <row r="52" spans="1:25" x14ac:dyDescent="0.3">
      <c r="A52" s="19" t="s">
        <v>405</v>
      </c>
      <c r="B52" s="50">
        <f>B45</f>
        <v>0</v>
      </c>
      <c r="C52" s="50">
        <f t="shared" ref="C52:J53" si="16">B52+C45</f>
        <v>0</v>
      </c>
      <c r="D52" s="50">
        <f t="shared" si="16"/>
        <v>0</v>
      </c>
      <c r="E52" s="50">
        <f t="shared" si="16"/>
        <v>0</v>
      </c>
      <c r="F52" s="50">
        <f t="shared" si="16"/>
        <v>0</v>
      </c>
      <c r="G52" s="50">
        <f t="shared" si="16"/>
        <v>0</v>
      </c>
      <c r="H52" s="50">
        <f t="shared" si="16"/>
        <v>0</v>
      </c>
      <c r="I52" s="50">
        <f t="shared" si="16"/>
        <v>0</v>
      </c>
      <c r="J52" s="50">
        <f t="shared" si="16"/>
        <v>0</v>
      </c>
      <c r="K52" s="1"/>
      <c r="O52" s="113" t="s">
        <v>417</v>
      </c>
      <c r="P52" s="110"/>
      <c r="Q52" s="110"/>
      <c r="R52" s="110"/>
      <c r="S52" s="110"/>
      <c r="T52" s="110"/>
      <c r="U52" s="110"/>
      <c r="V52" s="110"/>
      <c r="W52" s="110"/>
      <c r="X52" s="110"/>
      <c r="Y52" s="99">
        <f t="shared" si="14"/>
        <v>0</v>
      </c>
    </row>
    <row r="53" spans="1:25" x14ac:dyDescent="0.3">
      <c r="A53" s="19" t="s">
        <v>406</v>
      </c>
      <c r="B53" s="50">
        <f>B46</f>
        <v>0</v>
      </c>
      <c r="C53" s="50">
        <f t="shared" si="16"/>
        <v>0</v>
      </c>
      <c r="D53" s="50">
        <f t="shared" si="16"/>
        <v>0</v>
      </c>
      <c r="E53" s="50">
        <f t="shared" si="16"/>
        <v>0</v>
      </c>
      <c r="F53" s="50">
        <f t="shared" si="16"/>
        <v>0</v>
      </c>
      <c r="G53" s="50">
        <f t="shared" si="16"/>
        <v>0</v>
      </c>
      <c r="H53" s="50">
        <f t="shared" si="16"/>
        <v>0</v>
      </c>
      <c r="I53" s="50">
        <f t="shared" si="16"/>
        <v>0</v>
      </c>
      <c r="J53" s="50">
        <f t="shared" si="16"/>
        <v>0</v>
      </c>
      <c r="O53" s="19" t="s">
        <v>455</v>
      </c>
      <c r="P53" s="99">
        <f t="shared" ref="P53:X53" si="17">SUM(P47:P52)</f>
        <v>0</v>
      </c>
      <c r="Q53" s="99">
        <f t="shared" si="17"/>
        <v>0</v>
      </c>
      <c r="R53" s="99">
        <f t="shared" si="17"/>
        <v>0</v>
      </c>
      <c r="S53" s="99">
        <f t="shared" si="17"/>
        <v>0</v>
      </c>
      <c r="T53" s="99">
        <f t="shared" si="17"/>
        <v>0</v>
      </c>
      <c r="U53" s="99">
        <f t="shared" si="17"/>
        <v>0</v>
      </c>
      <c r="V53" s="99">
        <f t="shared" si="17"/>
        <v>0</v>
      </c>
      <c r="W53" s="99">
        <f t="shared" si="17"/>
        <v>0</v>
      </c>
      <c r="X53" s="99">
        <f t="shared" si="17"/>
        <v>0</v>
      </c>
      <c r="Y53" s="99">
        <f t="shared" si="14"/>
        <v>0</v>
      </c>
    </row>
    <row r="62" spans="1:25" x14ac:dyDescent="0.3">
      <c r="T62" s="81"/>
    </row>
    <row r="63" spans="1:25" x14ac:dyDescent="0.3">
      <c r="A63" s="82"/>
    </row>
    <row r="64" spans="1:25" x14ac:dyDescent="0.3">
      <c r="A64" s="86"/>
    </row>
    <row r="65" spans="1:1" x14ac:dyDescent="0.3">
      <c r="A65" s="14"/>
    </row>
    <row r="66" spans="1:1" x14ac:dyDescent="0.3">
      <c r="A66" s="13"/>
    </row>
    <row r="67" spans="1:1" x14ac:dyDescent="0.3">
      <c r="A67" s="13"/>
    </row>
  </sheetData>
  <sheetProtection selectLockedCells="1"/>
  <mergeCells count="5">
    <mergeCell ref="A1:K1"/>
    <mergeCell ref="A2:K2"/>
    <mergeCell ref="O20:Y20"/>
    <mergeCell ref="O34:Y34"/>
    <mergeCell ref="O36:V36"/>
  </mergeCells>
  <conditionalFormatting sqref="A1:Y67">
    <cfRule type="expression" dxfId="2" priority="100">
      <formula>ISERROR(A1)</formula>
    </cfRule>
  </conditionalFormatting>
  <conditionalFormatting sqref="B36:I36">
    <cfRule type="cellIs" dxfId="1" priority="1" operator="greaterThan">
      <formula>$B$19</formula>
    </cfRule>
  </conditionalFormatting>
  <conditionalFormatting sqref="K30">
    <cfRule type="cellIs" dxfId="0" priority="2" operator="equal">
      <formula>$B$5</formula>
    </cfRule>
  </conditionalFormatting>
  <dataValidations count="5">
    <dataValidation type="decimal" operator="greaterThanOrEqual" allowBlank="1" showInputMessage="1" showErrorMessage="1" errorTitle="Amount required" error="Enter an amount in EUR, 0 or more." promptTitle="Average project budget (EUR)" prompt="Enter the average EU budget of a project in EUR." sqref="T42" xr:uid="{1322D77A-6FDA-4AB8-B20B-8EF214792780}">
      <formula1>0</formula1>
    </dataValidation>
    <dataValidation type="decimal" operator="greaterThanOrEqual" allowBlank="1" showInputMessage="1" showErrorMessage="1" errorTitle="Number required" error="Enter a number, 0 or more." promptTitle="Number of projects per call" prompt="Enter the number of projects expected per call." sqref="P42:P44 R42:R44" xr:uid="{55E5A4D5-A9DA-4A6C-AA5E-47E02D949189}">
      <formula1>0</formula1>
    </dataValidation>
    <dataValidation type="decimal" allowBlank="1" showInputMessage="1" showErrorMessage="1" errorTitle="Percentage required" error="Enter a percentage between 0% and 100%." promptTitle="Spending profile (%)" prompt="Enter the share of the project budget spent in each half year of a regular 36 month project. The six values must add up to 100%." sqref="P38:U38" xr:uid="{E2539CDC-6B25-4BF0-B315-D5D36A555D23}">
      <formula1>0</formula1>
      <formula2>1</formula2>
    </dataValidation>
    <dataValidation type="decimal" operator="greaterThanOrEqual" allowBlank="1" showInputMessage="1" showErrorMessage="1" errorTitle="Amount required" error="Enter an amount in EUR, 0 or more." promptTitle="Payments to projects (EUR)" prompt="Enter the payments to projects per call and year in EUR (2028 to 2035 and after closure), for example copied from the mini calculator on the right. They feed the outflows of this sheet." sqref="P24:X29" xr:uid="{CCDF8992-EC1F-4605-8798-D49E87403975}">
      <formula1>0</formula1>
    </dataValidation>
    <dataValidation allowBlank="1" showInputMessage="1" promptTitle="Call or project group" prompt="Optional. Name of the call or group of projects. The name is shown in the table on the left." sqref="O24:O29" xr:uid="{00000000-0002-0000-1000-000004000000}"/>
  </dataValidation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ECB512A0FD2A74599FF0E9504498F67" ma:contentTypeVersion="12" ma:contentTypeDescription="Create a new document." ma:contentTypeScope="" ma:versionID="97d0247471968ad03a9f25d7a116b14e">
  <xsd:schema xmlns:xsd="http://www.w3.org/2001/XMLSchema" xmlns:xs="http://www.w3.org/2001/XMLSchema" xmlns:p="http://schemas.microsoft.com/office/2006/metadata/properties" xmlns:ns3="e5a00a47-88c2-4ff2-be3a-49e619eadc48" targetNamespace="http://schemas.microsoft.com/office/2006/metadata/properties" ma:root="true" ma:fieldsID="0c55d2b95b9a2a9b6da269b79feec304" ns3:_="">
    <xsd:import namespace="e5a00a47-88c2-4ff2-be3a-49e619eadc48"/>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a00a47-88c2-4ff2-be3a-49e619eadc48"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e5a00a47-88c2-4ff2-be3a-49e619eadc48" xsi:nil="true"/>
  </documentManagement>
</p:properties>
</file>

<file path=customXml/itemProps1.xml><?xml version="1.0" encoding="utf-8"?>
<ds:datastoreItem xmlns:ds="http://schemas.openxmlformats.org/officeDocument/2006/customXml" ds:itemID="{42FCC3E0-2F8D-43DE-AD6F-F496E3ACAF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a00a47-88c2-4ff2-be3a-49e619eadc4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6C58603-8FFE-4F30-9D2C-9D723878BFAC}">
  <ds:schemaRefs>
    <ds:schemaRef ds:uri="http://schemas.microsoft.com/sharepoint/v3/contenttype/forms"/>
  </ds:schemaRefs>
</ds:datastoreItem>
</file>

<file path=customXml/itemProps3.xml><?xml version="1.0" encoding="utf-8"?>
<ds:datastoreItem xmlns:ds="http://schemas.openxmlformats.org/officeDocument/2006/customXml" ds:itemID="{E89C5891-7403-460C-82E1-96E7443114E2}">
  <ds:schemaRefs>
    <ds:schemaRef ds:uri="http://www.w3.org/XML/1998/namespace"/>
    <ds:schemaRef ds:uri="http://schemas.microsoft.com/office/2006/documentManagement/types"/>
    <ds:schemaRef ds:uri="http://purl.org/dc/dcmitype/"/>
    <ds:schemaRef ds:uri="http://schemas.microsoft.com/office/2006/metadata/properties"/>
    <ds:schemaRef ds:uri="http://schemas.openxmlformats.org/package/2006/metadata/core-properties"/>
    <ds:schemaRef ds:uri="http://purl.org/dc/terms/"/>
    <ds:schemaRef ds:uri="http://schemas.microsoft.com/office/infopath/2007/PartnerControls"/>
    <ds:schemaRef ds:uri="e5a00a47-88c2-4ff2-be3a-49e619eadc48"/>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Guide</vt:lpstr>
      <vt:lpstr>Checks</vt:lpstr>
      <vt:lpstr>pay out values</vt:lpstr>
      <vt:lpstr>N+1 </vt:lpstr>
      <vt:lpstr>Inflows</vt:lpstr>
      <vt:lpstr>TA </vt:lpstr>
      <vt:lpstr>Summary project payments</vt:lpstr>
      <vt:lpstr>Measure 1 project payments</vt:lpstr>
      <vt:lpstr>Measure 2 project payments</vt:lpstr>
      <vt:lpstr>Measure 3 project payments</vt:lpstr>
      <vt:lpstr>Measure 4 project payments</vt:lpstr>
      <vt:lpstr>Measure 5 project payments</vt:lpstr>
      <vt:lpstr>Measure 6 project payments</vt:lpstr>
      <vt:lpstr>Measure 7 project payments</vt:lpstr>
      <vt:lpstr>Measure 8 project payments</vt:lpstr>
      <vt:lpstr>Measure 9 project payments</vt:lpstr>
      <vt:lpstr>Measure 10 project payments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Sanna Erkko | Interact</dc:creator>
  <cp:keywords/>
  <dc:description/>
  <cp:lastModifiedBy>Kevin Fulcher | Interact</cp:lastModifiedBy>
  <cp:revision/>
  <dcterms:created xsi:type="dcterms:W3CDTF">2026-03-30T09:45:19Z</dcterms:created>
  <dcterms:modified xsi:type="dcterms:W3CDTF">2026-11-06T08:24:11Z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0x0101005ECB512A0FD2A74599FF0E9504498F67</vt:lpwstr>
  </property>
</Properties>
</file>